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0.png" ContentType="image/png"/>
  <Override PartName="/xl/media/image6.png" ContentType="image/png"/>
  <Override PartName="/xl/media/image7.png" ContentType="image/png"/>
  <Override PartName="/xl/media/image8.png" ContentType="image/png"/>
  <Override PartName="/xl/media/image9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- OBRA" sheetId="1" state="visible" r:id="rId2"/>
    <sheet name="COMPOSIÇÕES" sheetId="2" state="visible" r:id="rId3"/>
    <sheet name="CRONOGRAMA - OBR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<sst xmlns="http://schemas.openxmlformats.org/spreadsheetml/2006/main" count="919" uniqueCount="567">
  <si>
    <t xml:space="preserve">UNIVERSIDADE ESTADUAL DO NORTE DO PARANÁ</t>
  </si>
  <si>
    <t xml:space="preserve">CNPJ: 08.885.100/0001-54</t>
  </si>
  <si>
    <t xml:space="preserve">BDI</t>
  </si>
  <si>
    <t xml:space="preserve">OBRA : AGEUNI</t>
  </si>
  <si>
    <t xml:space="preserve">Local: Parque de Cultura, Extensão e Inovação da UENP</t>
  </si>
  <si>
    <t xml:space="preserve">Total S/BDI</t>
  </si>
  <si>
    <t xml:space="preserve">Data do orçamento: OUTUBRO DE 2022</t>
  </si>
  <si>
    <t xml:space="preserve">Total c/BDI</t>
  </si>
  <si>
    <t xml:space="preserve">SINAPI_Custo_Ref_Composicoes_Analitico_PR_202207_Desonerado</t>
  </si>
  <si>
    <t xml:space="preserve">RESP. TÉCNICO:
FELIPE SCALA FRANCICA
ENG. CIVIL CREA SP 5069900657                        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</si>
  <si>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</si>
  <si>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</si>
  <si>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</si>
  <si>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</si>
  <si>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</si>
  <si>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</si>
  <si>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</si>
  <si>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</si>
  <si>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</si>
  <si>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</si>
  <si>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</si>
  <si>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</si>
  <si>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</si>
  <si>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</si>
  <si>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DEMOLIÇÕES E RETIRADAS</t>
  </si>
  <si>
    <t xml:space="preserve">1.1</t>
  </si>
  <si>
    <t xml:space="preserve">DEMOLIÇÃO DE ALVENARIAS - SANITÁRIO</t>
  </si>
  <si>
    <t xml:space="preserve">97622</t>
  </si>
  <si>
    <t xml:space="preserve">DEMOLIÇÃO DE ALVENARIA DE BLOCO FURADO, DE FORMA MANUAL, SEM REAPROVEITAMENTO. AF_12/2017</t>
  </si>
  <si>
    <t xml:space="preserve">m³</t>
  </si>
  <si>
    <t xml:space="preserve">1.2</t>
  </si>
  <si>
    <t xml:space="preserve">DEMOLIÇÃO DE REVESTIMENTO CERÂMICO - PISO E PAREDES DO SANITÁRIO</t>
  </si>
  <si>
    <t xml:space="preserve">97634</t>
  </si>
  <si>
    <t xml:space="preserve">DEMOLIÇÃO DE REVESTIMENTO CERÂMICO, DE FORMA MECANIZADA COM MARTELETE, SEM REAPROVEITAMENTO. AF_12/2017</t>
  </si>
  <si>
    <t xml:space="preserve">m²</t>
  </si>
  <si>
    <t xml:space="preserve">1.3</t>
  </si>
  <si>
    <t xml:space="preserve">ABERTURA DE JANELA - SANITÁRIO</t>
  </si>
  <si>
    <t xml:space="preserve">1.4</t>
  </si>
  <si>
    <t xml:space="preserve">REMOÇÃO DO FORRO DO SANITÁRIO</t>
  </si>
  <si>
    <t xml:space="preserve">97640</t>
  </si>
  <si>
    <t xml:space="preserve">REMOÇÃO DE FORROS DE DRYWALL, PVC E FIBROMINERAL, DE FORMA MANUAL, SEM REAPROVEITAMENTO. AF_12/2017</t>
  </si>
  <si>
    <t xml:space="preserve">1.5</t>
  </si>
  <si>
    <t xml:space="preserve">REMOÇÃO DE PORTAS - SANITÁRIOS</t>
  </si>
  <si>
    <t xml:space="preserve">97644</t>
  </si>
  <si>
    <t xml:space="preserve">REMOÇÃO DE PORTAS, DE FORMA MANUAL, SEM REAPROVEITAMENTO. AF_12/2017</t>
  </si>
  <si>
    <t xml:space="preserve">1.6</t>
  </si>
  <si>
    <t xml:space="preserve">REMOÇÃO DE JANELAS - SANITÁRIOS</t>
  </si>
  <si>
    <t xml:space="preserve">97645</t>
  </si>
  <si>
    <t xml:space="preserve">REMOÇÃO DE JANELAS, DE FORMA MANUAL, SEM REAPROVEITAMENTO. AF_12/2017</t>
  </si>
  <si>
    <t xml:space="preserve">1.7</t>
  </si>
  <si>
    <t xml:space="preserve">DEMOLIÇÃO DE ALVENARIAS - CIRCULAÇÃO </t>
  </si>
  <si>
    <t xml:space="preserve">1.8</t>
  </si>
  <si>
    <t xml:space="preserve">DEMOLIÇÃO DE ALVENARIAS - BANCADA</t>
  </si>
  <si>
    <t xml:space="preserve">97623</t>
  </si>
  <si>
    <t xml:space="preserve">DEMOLIÇÃO DE ALVENARIA DE BLOCO FURADO, DE FORMA MANUAL, SEM REAPROVEITAMENTO. AF_12/2018</t>
  </si>
  <si>
    <t xml:space="preserve">1.9</t>
  </si>
  <si>
    <t xml:space="preserve">REMOÇÃO DE PORTAS - CIRCULAÇÃO</t>
  </si>
  <si>
    <t xml:space="preserve">1.10</t>
  </si>
  <si>
    <t xml:space="preserve">REMOÇÃO DO FORRO - SALA 02 E CIRCULAÇÃO</t>
  </si>
  <si>
    <t xml:space="preserve">2</t>
  </si>
  <si>
    <t xml:space="preserve">CONSTRUÇÕES E REGULARIZAÇÕES</t>
  </si>
  <si>
    <t xml:space="preserve">2.1</t>
  </si>
  <si>
    <t xml:space="preserve">REGULARIZAÇÃO DO PISO - SANITÁRIO</t>
  </si>
  <si>
    <t xml:space="preserve">87299</t>
  </si>
  <si>
    <t xml:space="preserve">ARGAMASSA TRAÇO 1:3 (EM VOLUME DE CIMENTO E AREIA MÉDIA ÚMIDA) PARA CONTRAPISO, PREPARO MECÂNICO COM BETONEIRA 600 L. AF_08/2019</t>
  </si>
  <si>
    <t xml:space="preserve">2.2</t>
  </si>
  <si>
    <t xml:space="preserve">REGULARIZAÇÃO DA PAREDE - SANITÁRIO</t>
  </si>
  <si>
    <t xml:space="preserve">87879</t>
  </si>
  <si>
    <t xml:space="preserve">CHAPISCO APLICADO EM ALVENARIAS E ESTRUTURAS DE CONCRETO INTERNAS, COM COLHER DE PEDREIRO.  ARGAMASSA TRAÇO 1:3 COM PREPARO EM BETONEIRA 400L. AF_06/2014</t>
  </si>
  <si>
    <t xml:space="preserve">2.3</t>
  </si>
  <si>
    <t xml:space="preserve">87531</t>
  </si>
  <si>
    <t xml:space="preserve"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</si>
  <si>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2.4</t>
  </si>
  <si>
    <t xml:space="preserve">REGULARIZAÇÃO DA PAREDE - ATRAS DA BANCADA (RECEPÇÃO)</t>
  </si>
  <si>
    <t xml:space="preserve">2.5</t>
  </si>
  <si>
    <t xml:space="preserve">87529</t>
  </si>
  <si>
    <t xml:space="preserve">MASSA ÚNICA, PARA RECEBIMENTO DE PINTURA, EM ARGAMASSA TRAÇO 1:2:8, PREPARO MECÂNICO COM BETONEIRA 400L, APLICADA MANUALMENTE EM FACES INTERNAS DE PAREDES, ESPESSURA DE 20MM, COM EXECUÇÃO DE TALISCAS. AF_06/2014</t>
  </si>
  <si>
    <t xml:space="preserve">2.6</t>
  </si>
  <si>
    <t xml:space="preserve">FECHAMENTO DE PORTAS E JANELAS</t>
  </si>
  <si>
    <t xml:space="preserve">103334</t>
  </si>
  <si>
    <t xml:space="preserve">ALVENARIA DE VEDAÇÃO DE BLOCOS CERÂMICOS FURADOS NA HORIZONTAL DE 14X9X19 CM (ESPESSURA 14 CM, BLOCO DEITADO) E ARGAMASSA DE ASSENTAMENTO COM PREPARO EM BETONEIRA. AF_12/2021</t>
  </si>
  <si>
    <t xml:space="preserve">R$ 768,94</t>
  </si>
  <si>
    <t xml:space="preserve">R$ 0,00</t>
  </si>
  <si>
    <t xml:space="preserve">2.7</t>
  </si>
  <si>
    <t xml:space="preserve">R$ 18,22</t>
  </si>
  <si>
    <t xml:space="preserve">2.8</t>
  </si>
  <si>
    <t xml:space="preserve">R$ 150,64</t>
  </si>
  <si>
    <t xml:space="preserve">2.9</t>
  </si>
  <si>
    <t xml:space="preserve">REQUADRO - PORTA E JANELA</t>
  </si>
  <si>
    <t xml:space="preserve">2.10</t>
  </si>
  <si>
    <t xml:space="preserve">2.11</t>
  </si>
  <si>
    <t xml:space="preserve">REGULARIZAÇÃO DE ÁREAS ALTERADAS</t>
  </si>
  <si>
    <t xml:space="preserve">88495</t>
  </si>
  <si>
    <t xml:space="preserve">APLICAÇÃO E LIXAMENTO DE MASSA LÁTEX EM PAREDES, UMA DEMÃO. AF_06/2014
</t>
  </si>
  <si>
    <t xml:space="preserve">2.12</t>
  </si>
  <si>
    <t xml:space="preserve">VERGAS - NOVAS JANELAS E PORTAS</t>
  </si>
  <si>
    <t xml:space="preserve">93186</t>
  </si>
  <si>
    <t xml:space="preserve">VERGA MOLDADA IN LOCO EM CONCRETO PARA JANELAS COM ATÉ 1,5 M DE VÃO. AF_03/2016</t>
  </si>
  <si>
    <t xml:space="preserve">m</t>
  </si>
  <si>
    <t xml:space="preserve">3</t>
  </si>
  <si>
    <t xml:space="preserve">DIVISÓRIAS E FORRO</t>
  </si>
  <si>
    <t xml:space="preserve">3.1</t>
  </si>
  <si>
    <t xml:space="preserve">DRY WALL - SANITÁRIO</t>
  </si>
  <si>
    <t xml:space="preserve">COMP.01</t>
  </si>
  <si>
    <t xml:space="preserve">PAREDE COM PLACAS DE GESSO ACARTONADO (DRYWALL), PARA USO INTERNO, COM DUAS FACES SIMPLES E ESTRUTURA METÁLICA COM GUIAS SIMPLES, COM VÃOS AF_06/2017_P</t>
  </si>
  <si>
    <t xml:space="preserve">3.2</t>
  </si>
  <si>
    <t xml:space="preserve">ACABAMENTO DRYWALL</t>
  </si>
  <si>
    <t xml:space="preserve">APLICAÇÃO E LIXAMENTO DE MASSA LÁTEX EM PAREDES, UMA DEMÃO. AF_06/2014</t>
  </si>
  <si>
    <t xml:space="preserve">3.3</t>
  </si>
  <si>
    <t xml:space="preserve">FORRO EM PVC - SANITÁRIO</t>
  </si>
  <si>
    <t xml:space="preserve">96111</t>
  </si>
  <si>
    <t xml:space="preserve">FORRO EM RÉGUAS DE PVC, FRISADO, PARA AMBIENTES RESIDENCIAIS, INCLUSIVE ESTRUTURA DE FIXAÇÃO. AF_05/2017_P</t>
  </si>
  <si>
    <t xml:space="preserve">3.4</t>
  </si>
  <si>
    <t xml:space="preserve">ACABAMENTO PARA FORRO EM PVC - SANITÁRIO</t>
  </si>
  <si>
    <t xml:space="preserve">96121</t>
  </si>
  <si>
    <t xml:space="preserve">ACABAMENTOS PARA FORRO (RODA-FORRO EM PERFIL METÁLICO E PLÁSTICO). AF_05/2017</t>
  </si>
  <si>
    <t xml:space="preserve">4</t>
  </si>
  <si>
    <t xml:space="preserve">REVESTIMENTOS</t>
  </si>
  <si>
    <t xml:space="preserve">4.1</t>
  </si>
  <si>
    <t xml:space="preserve">PISO CERÂMICO 35X35CM</t>
  </si>
  <si>
    <t xml:space="preserve">87248</t>
  </si>
  <si>
    <t xml:space="preserve">REVESTIMENTO CERÂMICO PARA PISO COM PLACAS TIPO ESMALTADA EXTRA DE DIMENSÕES 35X35 CM APLICADA EM AMBIENTES DE ÁREA MAIOR QUE 10 M2. AF_06/2014</t>
  </si>
  <si>
    <t xml:space="preserve">4.2</t>
  </si>
  <si>
    <t xml:space="preserve">SOLEIRA WC </t>
  </si>
  <si>
    <t xml:space="preserve">98689</t>
  </si>
  <si>
    <t xml:space="preserve">SOLEIRA EM GRANITO, LARGURA 15 CM, ESPESSURA 2,0 CM. AF_09/2020</t>
  </si>
  <si>
    <t xml:space="preserve">4.3</t>
  </si>
  <si>
    <t xml:space="preserve">REVESTIMENTO CERÂMICO - PAREDE DO SANITÁRIO</t>
  </si>
  <si>
    <t xml:space="preserve">87271</t>
  </si>
  <si>
    <t xml:space="preserve">REVESTIMENTO CERÂMICO PARA PAREDES INTERNAS COM PLACAS TIPO ESMALTADA EXTRA DE DIMENSÕES 25X35 CM APLICADAS EM AMBIENTES DE ÁREA MAIOR QUE 5 M² A MEIA ALTURA DAS PAREDES. AF_06/2014</t>
  </si>
  <si>
    <t xml:space="preserve">4.4</t>
  </si>
  <si>
    <t xml:space="preserve">PAREDE EM COBOGÓ - COFFEE</t>
  </si>
  <si>
    <t xml:space="preserve">COMP.02</t>
  </si>
  <si>
    <t xml:space="preserve">ALVENARIA DE VEDAÇÃO COM ELEMENTO VAZADO DE CERÂMICA (COBOGÓ) DE 7X18X18, MODELO FLOR, E ARGAMASSA DE ASSENTAMENTO COM PREPARO EM BETONEIRA.  </t>
  </si>
  <si>
    <t xml:space="preserve">4.5</t>
  </si>
  <si>
    <t xml:space="preserve">SOLEIRA - RECEPÇÃO</t>
  </si>
  <si>
    <t xml:space="preserve">5</t>
  </si>
  <si>
    <t xml:space="preserve">ESQUADRIAS</t>
  </si>
  <si>
    <t xml:space="preserve">5.1</t>
  </si>
  <si>
    <t xml:space="preserve">JANELA 100X60cm - 2UN</t>
  </si>
  <si>
    <t xml:space="preserve">94570</t>
  </si>
  <si>
    <t xml:space="preserve">JANELA DE ALUMÍNIO DE CORRER COM 2 FOLHAS PARA VIDROS, COM VIDROS, BATENTE, ACABAMENTO COM ACETATO OU BRILHANTE E FERRAGENS. EXCLUSIVE ALIZAR E CONTRAMARCO. FORNECIMENTO E INSTALAÇÃO. AF_12/2019</t>
  </si>
  <si>
    <t xml:space="preserve">5.2</t>
  </si>
  <si>
    <t xml:space="preserve">JANELA 60x60cm - 1UN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</si>
  <si>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</si>
  <si>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</si>
  <si>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5.3</t>
  </si>
  <si>
    <t xml:space="preserve">VIDRO FIXO - RECEPÇÃO</t>
  </si>
  <si>
    <t xml:space="preserve">100674</t>
  </si>
  <si>
    <t xml:space="preserve">JANELA FIXA DE ALUMÍNIO PARA VIDRO, COM VIDRO, BATENTE E FERRAGENS. EXCLUSIVE ACABAMENTO, ALIZAR E CONTRAMARCO. FORNECIMENTO E INSTALAÇÃO. AF_12/2019</t>
  </si>
  <si>
    <t xml:space="preserve">M²</t>
  </si>
  <si>
    <t xml:space="preserve">5.4</t>
  </si>
  <si>
    <t xml:space="preserve">ESTRUTURA JANELAS </t>
  </si>
  <si>
    <t xml:space="preserve">94589</t>
  </si>
  <si>
    <t xml:space="preserve">CONTRAMARCO DE ALUMÍNIO, FIXAÇÃO COM ARGAMASSA - FORNECIMENTO E INSTALAÇÃO. AF_12/2019</t>
  </si>
  <si>
    <t xml:space="preserve">5.5</t>
  </si>
  <si>
    <t xml:space="preserve">PORTAS MADEIRA 90 CM</t>
  </si>
  <si>
    <t xml:space="preserve">90797</t>
  </si>
  <si>
    <t xml:space="preserve">KIT DE PORTA-PRONTA DE MADEIRA EM ACABAMENTO MELAMÍNICO BRANCO, FOLHA LEVE OU MÉDIA, E BATENTE METÁLICO, 90X210CM, FIXAÇÃO COM ARGAMASSA - FORNECIMENTO E INSTALAÇÃO. AF_12/2019</t>
  </si>
  <si>
    <t xml:space="preserve">un</t>
  </si>
  <si>
    <t xml:space="preserve">5.6</t>
  </si>
  <si>
    <t xml:space="preserve">PORTA DE VIDRO - RECEPÇÃO</t>
  </si>
  <si>
    <t xml:space="preserve">100702
ADAPTADO</t>
  </si>
  <si>
    <t xml:space="preserve">(ADAPTADO PARA QUATRO FOLHAS)
PORTA DE CORRER DE ALUMÍNIO, COM DUAS FOLHAS PARA VIDRO, INCLUSO VIDRO LISO INCOLOR, FECHADURA E PUXADOR, SEM ALIZAR. AF_12/2019(</t>
  </si>
  <si>
    <t xml:space="preserve">5.7</t>
  </si>
  <si>
    <t xml:space="preserve">FECHADURAS</t>
  </si>
  <si>
    <t xml:space="preserve">91306</t>
  </si>
  <si>
    <t xml:space="preserve">FECHADURA DE EMBUTIR PARA PORTAS INTERNAS, COMPLETA, ACABAMENTO PADRÃO MÉDIO, COM EXECUÇÃO DE FURO - FORNECIMENTO E INSTALAÇÃO. AF_12/2019</t>
  </si>
  <si>
    <t xml:space="preserve">6</t>
  </si>
  <si>
    <t xml:space="preserve">PINTURAS</t>
  </si>
  <si>
    <t xml:space="preserve">6.1</t>
  </si>
  <si>
    <t xml:space="preserve">PREPARO PARA PINTURA</t>
  </si>
  <si>
    <t xml:space="preserve">02344/ORSE</t>
  </si>
  <si>
    <t xml:space="preserve">PREPARO DE SUPERFÍCIE COM LIXAMENTO DE PAREDES E TETOS</t>
  </si>
  <si>
    <t xml:space="preserve">R$ 0,65</t>
  </si>
  <si>
    <t xml:space="preserve">R$ 2,28</t>
  </si>
  <si>
    <t xml:space="preserve">R$ 2,93</t>
  </si>
  <si>
    <t xml:space="preserve">R$ 169,26</t>
  </si>
  <si>
    <t xml:space="preserve">R$ 593,71</t>
  </si>
  <si>
    <t xml:space="preserve">R$ 762,97</t>
  </si>
  <si>
    <t xml:space="preserve">R$ 961,50</t>
  </si>
  <si>
    <t xml:space="preserve">6.2</t>
  </si>
  <si>
    <t xml:space="preserve">FUNDO PARA PINTURA </t>
  </si>
  <si>
    <t xml:space="preserve">88411</t>
  </si>
  <si>
    <t xml:space="preserve">APLICAÇÃO MANUAL DE FUNDO SELADOR ACRÍLICO EM PANOS COM PRESENÇA DE VÃOS DE EDIFÍCIOS DE MÚLTIPLOS PAVIMENTOS. AF_06/2014</t>
  </si>
  <si>
    <t xml:space="preserve">6.3</t>
  </si>
  <si>
    <t xml:space="preserve">PINTURA - INTERNA</t>
  </si>
  <si>
    <t xml:space="preserve">88489</t>
  </si>
  <si>
    <t xml:space="preserve">APLICAÇÃO MANUAL DE PINTURA COM TINTA LÁTEX ACRÍLICA EM PAREDES, DUAS DEMÃOS. AF_06/2014</t>
  </si>
  <si>
    <t xml:space="preserve">6.4</t>
  </si>
  <si>
    <t xml:space="preserve">PINTURA - EXTERNA</t>
  </si>
  <si>
    <t xml:space="preserve">6.5</t>
  </si>
  <si>
    <t xml:space="preserve">PINTURA - COBOGÓ</t>
  </si>
  <si>
    <t xml:space="preserve">6.6</t>
  </si>
  <si>
    <t xml:space="preserve">PINTURA DE ESQUADRIAS - LIXAMENTO</t>
  </si>
  <si>
    <t xml:space="preserve">100717</t>
  </si>
  <si>
    <t xml:space="preserve">LIXAMENTO MANUAL EM SUPERFÍCIES METÁLICAS EM OBRA. AF_01/2020</t>
  </si>
  <si>
    <t xml:space="preserve">R$ 3,78</t>
  </si>
  <si>
    <t xml:space="preserve">R$ 6,26</t>
  </si>
  <si>
    <t xml:space="preserve">R$ 10,04</t>
  </si>
  <si>
    <t xml:space="preserve">R$ 16,22</t>
  </si>
  <si>
    <t xml:space="preserve">R$ 26,86</t>
  </si>
  <si>
    <t xml:space="preserve">R$ 43,07</t>
  </si>
  <si>
    <t xml:space="preserve">R$ 54,28</t>
  </si>
  <si>
    <t xml:space="preserve">6.7</t>
  </si>
  <si>
    <t xml:space="preserve">PINTURA - PORTAS DE FERRO</t>
  </si>
  <si>
    <t xml:space="preserve">100725</t>
  </si>
  <si>
    <t xml:space="preserve">PINTURA COM TINTA ALQUÍDICA DE FUNDO E ACABAMENTO (ESMALTE SINTÉTICO) PULVERIZADA SOBRE SUPERFÍCIES METÁLICAS (EXCETO PERFIL) EXECUTADO EM OBRA (POR DEMÃO). AF_01/2020_P</t>
  </si>
  <si>
    <t xml:space="preserve">6.8</t>
  </si>
  <si>
    <t xml:space="preserve">PINTURA DO GUARDA-CORPO</t>
  </si>
  <si>
    <t xml:space="preserve">7</t>
  </si>
  <si>
    <t xml:space="preserve">INST. ELÉTRICA</t>
  </si>
  <si>
    <t xml:space="preserve">7.1</t>
  </si>
  <si>
    <t xml:space="preserve">CABOS</t>
  </si>
  <si>
    <t xml:space="preserve">91924</t>
  </si>
  <si>
    <t xml:space="preserve">CABO DE COBRE FLEXÍVEL ISOLADO, 1,5 MM², ANTI-CHAMA 450/750 V, PARA CIRCUITOS TERMINAIS - FORNECIMENTO E INSTALAÇÃO. AF_12/2015</t>
  </si>
  <si>
    <t xml:space="preserve">M</t>
  </si>
  <si>
    <t xml:space="preserve">7.2</t>
  </si>
  <si>
    <t xml:space="preserve">91926</t>
  </si>
  <si>
    <t xml:space="preserve">CABO DE COBRE FLEXÍVEL ISOLADO, 2,5 MM², ANTI-CHAMA 450/750 V, PARA CIRCUITOS TERMINAIS - FORNECIMENTO E INSTALAÇÃO. AF_12/2015</t>
  </si>
  <si>
    <t xml:space="preserve">7.3</t>
  </si>
  <si>
    <t xml:space="preserve">91928</t>
  </si>
  <si>
    <t xml:space="preserve">CABO DE COBRE FLEXÍVEL ISOLADO, 4 MM², ANTI-CHAMA 450/750 V, PARA CIRCUITOS TERMINAIS - FORNECIMENTO E INSTALAÇÃO. AF_12/2015</t>
  </si>
  <si>
    <t xml:space="preserve">7.4</t>
  </si>
  <si>
    <t xml:space="preserve">91930</t>
  </si>
  <si>
    <t xml:space="preserve">CABO DE COBRE FLEXÍVEL ISOLADO, 6 MM², ANTI-CHAMA 450/750 V, PARA CIRCUITOS TERMINAIS - FORNECIMENTO E INSTALAÇÃO. AF_12/2015</t>
  </si>
  <si>
    <t xml:space="preserve">7.5</t>
  </si>
  <si>
    <t xml:space="preserve">INTERRUPTOR SIMPLES </t>
  </si>
  <si>
    <t xml:space="preserve">91953</t>
  </si>
  <si>
    <t xml:space="preserve">INTERRUPTOR SIMPLES (1 MÓDULO), 10A/250V, INCLUINDO SUPORTE E PLACA - FORNECIMENTO E INSTALAÇÃO. AF_12/2015</t>
  </si>
  <si>
    <t xml:space="preserve">7.6</t>
  </si>
  <si>
    <t xml:space="preserve">TOMADAS 2 MOD</t>
  </si>
  <si>
    <t xml:space="preserve">92004</t>
  </si>
  <si>
    <t xml:space="preserve">TOMADA MÉDIA DE EMBUTIR (2 MÓDULOS), 2P+T 10 A, INCLUINDO SUPORTE E PLACA - FORNECIMENTO E INSTALAÇÃO. AF_12/2015</t>
  </si>
  <si>
    <t xml:space="preserve">7.7</t>
  </si>
  <si>
    <t xml:space="preserve">CONDULETE ALUMÍNIO COM TAMPA</t>
  </si>
  <si>
    <t xml:space="preserve">95779</t>
  </si>
  <si>
    <t xml:space="preserve">CONDULETE DE ALUMÍNIO, TIPO E, PARA ELETRODUTO DE AÇO GALVANIZADO DN 20 MM (3/4''), APARENTE - FORNECIMENTO E INSTALAÇÃO. AF_11/2016_P</t>
  </si>
  <si>
    <t xml:space="preserve">7.8</t>
  </si>
  <si>
    <t xml:space="preserve">ELETRODUTO FLEX  1" ou 1.1/2"</t>
  </si>
  <si>
    <t xml:space="preserve">ELETRODUTO FLEXÍVEL CORRUGADO, PEAD, DN 50 (1 ½_x005F_x0094_)  - FORNECIMENTO E INSTALAÇÃO. AF_04/2016</t>
  </si>
  <si>
    <t xml:space="preserve">7.9</t>
  </si>
  <si>
    <t xml:space="preserve">ELETRODUTO APARENTE 1/2" e 3/4" + ACESSÓRIOS</t>
  </si>
  <si>
    <t xml:space="preserve">COMP.03</t>
  </si>
  <si>
    <t xml:space="preserve">ELETRODUTO DE AÇO GALVANIZADO, CLASSE LEVE, DN 20 MM (3/4_x005F_x0092__x005F_x0092_), APARENTE, INSTALADO EM PAREDE - FORNECIMENTO E INSTALAÇÃO. AF_11/2016_P</t>
  </si>
  <si>
    <t xml:space="preserve">7.10</t>
  </si>
  <si>
    <t xml:space="preserve">CX PASSAGEM METÁLICA 15X15</t>
  </si>
  <si>
    <t xml:space="preserve">100556</t>
  </si>
  <si>
    <t xml:space="preserve">CAIXA DE PASSAGEM PARA TELEFONE 15X15X10CM (SOBREPOR), FORNECIMENTO E INSTALACAO. AF_11/2019</t>
  </si>
  <si>
    <t xml:space="preserve">7.11</t>
  </si>
  <si>
    <t xml:space="preserve">DISJUNTOR DIN tomadas e luz</t>
  </si>
  <si>
    <t xml:space="preserve">93653</t>
  </si>
  <si>
    <t xml:space="preserve">DISJUNTOR MONOPOLAR TIPO DIN, CORRENTE NOMINAL DE 10A - FORNECIMENTO E INSTALAÇÃO. AF_10/2020</t>
  </si>
  <si>
    <t xml:space="preserve">7.12</t>
  </si>
  <si>
    <t xml:space="preserve">DISJUNTOR DIN ac</t>
  </si>
  <si>
    <t xml:space="preserve">93662</t>
  </si>
  <si>
    <t xml:space="preserve">DISJUNTOR BIPOLAR TIPO DIN, CORRENTE NOMINAL DE 20A - FORNECIMENTO E INSTALAÇÃO. AF_10/2020</t>
  </si>
  <si>
    <t xml:space="preserve">7.13</t>
  </si>
  <si>
    <t xml:space="preserve">93665</t>
  </si>
  <si>
    <t xml:space="preserve">DISJUNTOR BIPOLAR TIPO DIN, CORRENTE NOMINAL DE 40A - FORNECIMENTO E INSTALAÇÃO. AF_10/2020</t>
  </si>
  <si>
    <t xml:space="preserve">7.14</t>
  </si>
  <si>
    <t xml:space="preserve">CAIXA PARA DISJ. AR CONDICIONADO</t>
  </si>
  <si>
    <t xml:space="preserve">12597
ORSE</t>
  </si>
  <si>
    <t xml:space="preserve">Caixa de sobrepor para 01 disjuntor bipolar ou 02 disjuntores monopolar, Fame ou similar</t>
  </si>
  <si>
    <t xml:space="preserve">7.15</t>
  </si>
  <si>
    <t xml:space="preserve">LUMINÁRIAS - CALHA 2XLED</t>
  </si>
  <si>
    <t xml:space="preserve">97585 - ADAP</t>
  </si>
  <si>
    <t xml:space="preserve">LUMINÁRIA TIPO CALHA, DE SOBREPOR, COM 2 LÂMPADAS TUBULARES LED DE 22 W - FORNECIMENTO E INSTALAÇÃO. AF_02/2020</t>
  </si>
  <si>
    <t xml:space="preserve">8</t>
  </si>
  <si>
    <t xml:space="preserve">INST. HIDROSSANITÁRIAS</t>
  </si>
  <si>
    <t xml:space="preserve">8.1</t>
  </si>
  <si>
    <t xml:space="preserve">ÁGUA FRIA</t>
  </si>
  <si>
    <t xml:space="preserve">8.1.1</t>
  </si>
  <si>
    <t xml:space="preserve">RETIRADA INSTALAÇÃO ANTIGA</t>
  </si>
  <si>
    <t xml:space="preserve">97662</t>
  </si>
  <si>
    <t xml:space="preserve">REMOÇÃO DE TUBULAÇÕES (TUBOS E CONEXÕES) DE ÁGUA FRIA, DE FORMA MANUAL, SEM REAPROVEITAMENTO. AF_12/2017</t>
  </si>
  <si>
    <t xml:space="preserve">8.1.2</t>
  </si>
  <si>
    <t xml:space="preserve">RASGO EM ALVENARIA PARA RAMAIS</t>
  </si>
  <si>
    <t xml:space="preserve">90443</t>
  </si>
  <si>
    <t xml:space="preserve">RASGO EM ALVENARIA PARA RAMAIS/ DISTRIBUIÇÃO COM DIAMETROS MENORES OU IGUAIS A 40 MM. AF_05/2015</t>
  </si>
  <si>
    <t xml:space="preserve">8.1.3</t>
  </si>
  <si>
    <t xml:space="preserve">RECOMPOSIÇÃO (ANTIGA E NOVA INSTALAÇÃO)</t>
  </si>
  <si>
    <t xml:space="preserve">90466</t>
  </si>
  <si>
    <t xml:space="preserve">CHUMBAMENTO LINEAR EM ALVENARIA PARA RAMAIS/DISTRIBUIÇÃO COM DIÂMETROS MENORES OU IGUAIS A 40 MM. AF_05/2015</t>
  </si>
  <si>
    <t xml:space="preserve">8.1.4</t>
  </si>
  <si>
    <t xml:space="preserve">TUBULAÇÃO AF</t>
  </si>
  <si>
    <t xml:space="preserve">89356</t>
  </si>
  <si>
    <t xml:space="preserve">TUBO, PVC, SOLDÁVEL, DN 25MM, INSTALADO EM RAMAL OU SUB-RAMAL DE ÁGUA - FORNECIMENTO E INSTALAÇÃO. AF_12/2014</t>
  </si>
  <si>
    <t xml:space="preserve">8.1.5</t>
  </si>
  <si>
    <t xml:space="preserve">94651</t>
  </si>
  <si>
    <t xml:space="preserve">TUBO, PVC, SOLDÁVEL, DN 50 MM, INSTALADO EM RESERVAÇÃO DE ÁGUA DE EDIFICAÇÃO QUE POSSUA RESERVATÓRIO DE FIBRA/FIBROCIMENTO FORNECIMENTO E INSTALAÇÃO. AF_06/2016</t>
  </si>
  <si>
    <t xml:space="preserve">8.1.6</t>
  </si>
  <si>
    <t xml:space="preserve">ADAPTADOR SOLDÁVEL P/ REGISTRO</t>
  </si>
  <si>
    <t xml:space="preserve">94662</t>
  </si>
  <si>
    <t xml:space="preserve">ADAPTADOR CURTO COM BOLSA E ROSCA PARA REGISTRO, PVC, SOLDÁVEL, DN 50 MM X 1 1/2 ,FORNECIMENTO E INSTALAÇÃO. </t>
  </si>
  <si>
    <t xml:space="preserve">8.1.7</t>
  </si>
  <si>
    <t xml:space="preserve">REGISTROS</t>
  </si>
  <si>
    <t xml:space="preserve">94794</t>
  </si>
  <si>
    <t xml:space="preserve">REGISTRO DE GAVETA BRUTO, LATÃO, ROSCÁVEL, 1 1/2", COM ACABAMENTO E CANOPLA CROMADOS - FORNECIMENTO E INSTALAÇÃO. AF_08/2021</t>
  </si>
  <si>
    <t xml:space="preserve">8.1.8</t>
  </si>
  <si>
    <t xml:space="preserve">CONEXÕES AF</t>
  </si>
  <si>
    <t xml:space="preserve">89362</t>
  </si>
  <si>
    <t xml:space="preserve">JOELHO 90 GRAUS, PVC, SOLDÁVEL, DN 25MM, INSTALADO EM RAMAL OU SUB-RAMAL DE ÁGUA - FORNECIMENTO E INSTALAÇÃO. AF_12/2014</t>
  </si>
  <si>
    <t xml:space="preserve">8.1.9</t>
  </si>
  <si>
    <t xml:space="preserve">89501</t>
  </si>
  <si>
    <t xml:space="preserve">JOELHO 90 GRAUS, PVC, SOLDÁVEL, DN 50MM, INSTALADO EM PRUMADA DE ÁGUA - FORNECIMENTO E INSTALAÇÃO. AF_12/2014</t>
  </si>
  <si>
    <t xml:space="preserve">8.1.10</t>
  </si>
  <si>
    <t xml:space="preserve">90373</t>
  </si>
  <si>
    <t xml:space="preserve">JOELHO 90 GRAUS COM BUCHA DE LATÃO, PVC, SOLDÁVEL, DN 25MM, X 1/2_x005F_x0094_ INSTALADO EM RAMAL OU SUB-RAMAL DE ÁGUA - FORNECIMENTO E INSTALAÇÃO. AF_12/2014</t>
  </si>
  <si>
    <t xml:space="preserve">8.1.11</t>
  </si>
  <si>
    <t xml:space="preserve">89625</t>
  </si>
  <si>
    <t xml:space="preserve">TE, PVC, SOLDÁVEL, DN 50MM, INSTALADO EM PRUMADA DE ÁGUA - FORNECIMENTO E INSTALAÇÃO. AF_12/2014</t>
  </si>
  <si>
    <t xml:space="preserve">8.1.12</t>
  </si>
  <si>
    <t xml:space="preserve">89380
ADAPTADO</t>
  </si>
  <si>
    <t xml:space="preserve">BUCHA DE REDUÇÃO SOLD. LONGA 50 MM - 25 MM</t>
  </si>
  <si>
    <t xml:space="preserve">8.1.13</t>
  </si>
  <si>
    <t xml:space="preserve">VÁLVULA DESCARGA ACIONAMENTO DUPLO</t>
  </si>
  <si>
    <t xml:space="preserve">99635</t>
  </si>
  <si>
    <t xml:space="preserve">VÁLVULA DE DESCARGA METÁLICA, BASE 1 1/2", ACABAMENTO METALICO CROMADO - FORNECIMENTO E INSTALAÇÃO. AF_08/2021</t>
  </si>
  <si>
    <t xml:space="preserve">8.2</t>
  </si>
  <si>
    <t xml:space="preserve">ESGOTO</t>
  </si>
  <si>
    <t xml:space="preserve">8.2.1</t>
  </si>
  <si>
    <t xml:space="preserve">RETIRADA DA INSTALAÇÃO ANTIGA </t>
  </si>
  <si>
    <t xml:space="preserve">97662 
ADAPTADO</t>
  </si>
  <si>
    <t xml:space="preserve">8.2.2</t>
  </si>
  <si>
    <t xml:space="preserve">QUEBRAS E ESCAVAÇÃO VALA ESGOTO</t>
  </si>
  <si>
    <t xml:space="preserve">93358</t>
  </si>
  <si>
    <t xml:space="preserve">ESCAVAÇÃO MANUAL DE VALA COM PROFUNDIDADE MENOR OU IGUAL A 1,30 M. AF_03/2016</t>
  </si>
  <si>
    <t xml:space="preserve">M³</t>
  </si>
  <si>
    <t xml:space="preserve">8.2.3</t>
  </si>
  <si>
    <t xml:space="preserve">REATERRO</t>
  </si>
  <si>
    <t xml:space="preserve">96995</t>
  </si>
  <si>
    <t xml:space="preserve">REATERRO MANUAL APILOADO COM SOQUETE. AF_10/2017</t>
  </si>
  <si>
    <t xml:space="preserve">8.2.4</t>
  </si>
  <si>
    <t xml:space="preserve">RECOMPOSIÇÃO CONTRAPISOS, PISOS E CALÇADAS </t>
  </si>
  <si>
    <t xml:space="preserve">101747</t>
  </si>
  <si>
    <t xml:space="preserve">PISO EM CONCRETO 20 MPA PREPARO MECÂNICO, ESPESSURA 7CM. AF_09/2020</t>
  </si>
  <si>
    <t xml:space="preserve">8.2.5</t>
  </si>
  <si>
    <t xml:space="preserve">ESG. CX PASSAGEM</t>
  </si>
  <si>
    <t xml:space="preserve">97896</t>
  </si>
  <si>
    <t xml:space="preserve">CAIXA ENTERRADA HIDRÁULICA RETANGULAR, EM CONCRETO PRÉ-MOLDADO, DIMENSÕES INTERNAS: 0,4X0,4X0,4 M. AF_12/2020</t>
  </si>
  <si>
    <t xml:space="preserve">8.2.6</t>
  </si>
  <si>
    <t xml:space="preserve">TUBO ESG.</t>
  </si>
  <si>
    <t xml:space="preserve">89714</t>
  </si>
  <si>
    <t xml:space="preserve">TUBO PVC, SERIE NORMAL, ESGOTO PREDIAL, DN 100 MM, FORNECIDO E INSTALADO EM RAMAL DE DESCARGA OU RAMAL DE ESGOTO SANITÁRIO. AF_12/2014</t>
  </si>
  <si>
    <t xml:space="preserve">8.2.7</t>
  </si>
  <si>
    <t xml:space="preserve">89711</t>
  </si>
  <si>
    <t xml:space="preserve">TUBO PVC, SERIE NORMAL, ESGOTO PREDIAL, DN 40 MM, FORNECIDO E INSTALADO EM RAMAL DE DESCARGA OU RAMAL DE ESGOTO SANITÁRIO. AF_12/2014</t>
  </si>
  <si>
    <t xml:space="preserve">8.2.8</t>
  </si>
  <si>
    <t xml:space="preserve">89712</t>
  </si>
  <si>
    <t xml:space="preserve">TUBO PVC, SERIE NORMAL, ESGOTO PREDIAL, DN 50 MM, FORNECIDO E INSTALADO EM RAMAL DE DESCARGA OU RAMAL DE ESGOTO SANITÁRIO. AF_12/2014</t>
  </si>
  <si>
    <t xml:space="preserve">8.2.9</t>
  </si>
  <si>
    <t xml:space="preserve">CONEXÕES ESG</t>
  </si>
  <si>
    <t xml:space="preserve">89802</t>
  </si>
  <si>
    <t xml:space="preserve">JOELHO 45 GRAUS, PVC, SERIE NORMAL, ESGOTO PREDIAL, DN 40 MM, JUNTA ELÁSTICA, FORNECIDO E INSTALADO EM PRUMADA DE ESGOTO SANITÁRIO OU VENTILAÇÃO. AF_12/2014</t>
  </si>
  <si>
    <t xml:space="preserve">8.2.10</t>
  </si>
  <si>
    <t xml:space="preserve">89746</t>
  </si>
  <si>
    <t xml:space="preserve">JOELHO 45 GRAUS, PVC, SERIE NORMAL, ESGOTO PREDIAL, DN 100 MM, JUNTA ELÁSTICA, FORNECIDO E INSTALADO EM RAMAL DE DESCARGA OU RAMAL DE ESGOTO SANITÁRIO. AF_12/2014</t>
  </si>
  <si>
    <t xml:space="preserve">8.2.11</t>
  </si>
  <si>
    <t xml:space="preserve">89797</t>
  </si>
  <si>
    <t xml:space="preserve">JUNÇÃO SIMPLES, PVC, SERIE NORMAL, ESGOTO PREDIAL, DN 100 X 100 MM, JUNTA ELÁSTICA, FORNECIDO E INSTALADO EM RAMAL DE DESCARGA OU RAMAL DE ESGOTO SANITÁRIO. AF_12/2014</t>
  </si>
  <si>
    <t xml:space="preserve">8.2.12</t>
  </si>
  <si>
    <t xml:space="preserve">89724</t>
  </si>
  <si>
    <t xml:space="preserve">JOELHO 90 GRAUS, PVC, SERIE NORMAL, ESGOTO PREDIAL, DN 40 MM, JUNTA SOLDÁVEL, FORNECIDO E INSTALADO EM RAMAL DE DESCARGA OU RAMAL DE ESGOTO SANITÁRIO. AF_12/2014</t>
  </si>
  <si>
    <t xml:space="preserve">8.2.13</t>
  </si>
  <si>
    <t xml:space="preserve">89744</t>
  </si>
  <si>
    <t xml:space="preserve">JOELHO 90 GRAUS, PVC, SERIE NORMAL, ESGOTO PREDIAL, DN 100 MM, JUNTA ELÁSTICA, FORNECIDO E INSTALADO EM RAMAL DE DESCARGA OU RAMAL DE ESGOTO SANITÁRIO. AF_12/2014</t>
  </si>
  <si>
    <t xml:space="preserve">8.2.14</t>
  </si>
  <si>
    <t xml:space="preserve">89707</t>
  </si>
  <si>
    <t xml:space="preserve">CAIXA SIFONADA, PVC, DN 100 X 100 X 50 MM, JUNTA ELÁSTICA, FORNECIDA E INSTALADA EM RAMAL DE DESCARGA OU EM RAMAL DE ESGOTO SANITÁRIO. AF_12/2014</t>
  </si>
  <si>
    <t xml:space="preserve">8.2.15</t>
  </si>
  <si>
    <t xml:space="preserve">RALO PISO - BASE</t>
  </si>
  <si>
    <t xml:space="preserve">89709</t>
  </si>
  <si>
    <t xml:space="preserve">RALO SIFONADO, PVC, DN 100 X 40 MM, JUNTA SOLDÁVEL, FORNECIDO E INSTALADO EM RAMAL DE DESCARGA OU EM RAMAL DE ESGOTO SANITÁRIO. AF_12/2014</t>
  </si>
  <si>
    <t xml:space="preserve">8.2.16</t>
  </si>
  <si>
    <t xml:space="preserve">RALO PISO - GRELHA</t>
  </si>
  <si>
    <t xml:space="preserve">11732 
ADAPTADO</t>
  </si>
  <si>
    <t xml:space="preserve">GRELHA PVC CROMADA REDONDA, 150 MM - ESCAMOTEÁVEL</t>
  </si>
  <si>
    <t xml:space="preserve">8.3</t>
  </si>
  <si>
    <t xml:space="preserve">APARELHOS E ACESSÓRIOS</t>
  </si>
  <si>
    <t xml:space="preserve">8.3.1</t>
  </si>
  <si>
    <t xml:space="preserve">VASO SANITÁRIO</t>
  </si>
  <si>
    <t xml:space="preserve">95470</t>
  </si>
  <si>
    <t xml:space="preserve">VASO SANITARIO SIFONADO CONVENCIONAL COM LOUÇA BRANCA, INCLUSO CONJUNTO DE LIGAÇÃO PARA BACIA SANITÁRIA AJUSTÁVEL - FORNECIMENTO E INSTALAÇÃO. AF_10/2016</t>
  </si>
  <si>
    <t xml:space="preserve">8.3.2</t>
  </si>
  <si>
    <t xml:space="preserve">LAVATÓRIO COLUNA COMPLETO COM TORNEIRA</t>
  </si>
  <si>
    <t xml:space="preserve">86942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</si>
  <si>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</si>
  <si>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8.3.3</t>
  </si>
  <si>
    <t xml:space="preserve">BARRA DE APOIO - 60CM</t>
  </si>
  <si>
    <t xml:space="preserve">100866</t>
  </si>
  <si>
    <t xml:space="preserve">BARRA DE APOIO RETA, EM ACO INOX POLIDO, COMPRIMENTO 60CM, FIXADA NA PAREDE - FORNECIMENTO E INSTALAÇÃO. AF_01/2020</t>
  </si>
  <si>
    <t xml:space="preserve">8.3.4</t>
  </si>
  <si>
    <t xml:space="preserve">BARRA DE APOIO - 70CM</t>
  </si>
  <si>
    <t xml:space="preserve">100867</t>
  </si>
  <si>
    <t xml:space="preserve">BARRA DE APOIO RETA, EM ACO INOX POLIDO, COMPRIMENTO 70 CM,  FIXADA NA PAREDE - FORNECIMENTO E INSTALAÇÃO. AF_01/2020</t>
  </si>
  <si>
    <t xml:space="preserve">8.3.5</t>
  </si>
  <si>
    <t xml:space="preserve">BARRA DE APOIO - 80CM</t>
  </si>
  <si>
    <t xml:space="preserve">100868</t>
  </si>
  <si>
    <t xml:space="preserve">BARRA DE APOIO RETA, EM ACO INOX POLIDO, COMPRIMENTO 80 CM, FIXADA NA PAREDE - FORNECIMENTO E INSTALAÇÃO. AF_01/2020</t>
  </si>
  <si>
    <t xml:space="preserve">8.3.6</t>
  </si>
  <si>
    <t xml:space="preserve">DISPENSER SABONETEIRA</t>
  </si>
  <si>
    <t xml:space="preserve">95547</t>
  </si>
  <si>
    <t xml:space="preserve">SABONETEIRA PLASTICA TIPO DISPENSER PARA SABONETE LIQUIDO COM RESERVATORIO 800 A 1500 ML, INCLUSO FIXAÇÃO. AF_01/2020</t>
  </si>
  <si>
    <t xml:space="preserve">8.3.7</t>
  </si>
  <si>
    <t xml:space="preserve">ASSENTO SANITÁRIO</t>
  </si>
  <si>
    <t xml:space="preserve">100849</t>
  </si>
  <si>
    <t xml:space="preserve">ASSENTO SANITÁRIO CONVENCIONAL - FORNECIMENTO E INSTALACAO. AF_01/2020</t>
  </si>
  <si>
    <t xml:space="preserve">8.3.8</t>
  </si>
  <si>
    <t xml:space="preserve">DISPENSER PAPEL TOALHA</t>
  </si>
  <si>
    <t xml:space="preserve">COMP.04</t>
  </si>
  <si>
    <t xml:space="preserve">TOALHEIRO PLASTICO TIPO DISPENSER PARA PAPEL TOALHA INTERFOLHADO</t>
  </si>
  <si>
    <t xml:space="preserve">8.3.9</t>
  </si>
  <si>
    <t xml:space="preserve">DISPENSER PAPEL HIGIÊNICO</t>
  </si>
  <si>
    <t xml:space="preserve">COMP.05</t>
  </si>
  <si>
    <t xml:space="preserve">PAPELEIRA PLASTICA TIPO DISPENSER PARA PAPEL HIGIENICO ROLAO</t>
  </si>
  <si>
    <t xml:space="preserve">8.3.10</t>
  </si>
  <si>
    <t xml:space="preserve">ESPELHO 60 X 60</t>
  </si>
  <si>
    <t xml:space="preserve">09718/ORSE</t>
  </si>
  <si>
    <t xml:space="preserve">ESPELHO CRISTAL E = 4 MM COM  MOLDURA DE ALUMÍNIO</t>
  </si>
  <si>
    <t xml:space="preserve">9</t>
  </si>
  <si>
    <t xml:space="preserve">ADEQUAÇÕES EXTERNAS</t>
  </si>
  <si>
    <t xml:space="preserve">9.1</t>
  </si>
  <si>
    <t xml:space="preserve">LIMPEZA DO TERRENO</t>
  </si>
  <si>
    <t xml:space="preserve">98524</t>
  </si>
  <si>
    <t xml:space="preserve">LIMPEZA MANUAL DE VEGETAÇÃO EM TERRENO COM ENXADA.AF_05/2018</t>
  </si>
  <si>
    <t xml:space="preserve">9.2</t>
  </si>
  <si>
    <t xml:space="preserve">REGULARIZAÇÃO DO TERRENO</t>
  </si>
  <si>
    <t xml:space="preserve">100577</t>
  </si>
  <si>
    <t xml:space="preserve">REGULARIZAÇÃO E COMPACTAÇÃO DE SUBLEITO DE SOLO PREDOMINANTEMENTE ARENOSO. AF_11/2019</t>
  </si>
  <si>
    <t xml:space="preserve">9.3</t>
  </si>
  <si>
    <t xml:space="preserve">CALÇADA - H=6CM</t>
  </si>
  <si>
    <t xml:space="preserve">94990</t>
  </si>
  <si>
    <t xml:space="preserve">EXECUÇÃO DE PASSEIO (CALÇADA) OU PISO DE CONCRETO COM CONCRETO MOLDADO IN LOCO, FEITO EM OBRA, ACABAMENTO CONVENCIONAL, NÃO ARMADO. AF_07/2016</t>
  </si>
  <si>
    <t xml:space="preserve">9.4</t>
  </si>
  <si>
    <t xml:space="preserve">TRU - ESCAVAÇÃO (BASE)</t>
  </si>
  <si>
    <t xml:space="preserve">96527</t>
  </si>
  <si>
    <t xml:space="preserve">ESCAVAÇÃO MANUAL DE VALA PARA VIGA BALDRAME (INCLUINDO ESCAVAÇÃO PARA COLOCAÇÃO DE FÔRMAS). AF_06/2017</t>
  </si>
  <si>
    <t xml:space="preserve">9.5</t>
  </si>
  <si>
    <t xml:space="preserve">TRU – FORMAS (BASE)</t>
  </si>
  <si>
    <t xml:space="preserve">92419</t>
  </si>
  <si>
    <t xml:space="preserve">MONTAGEM E DESMONTAGEM DE FÔRMA DE PILARES RETANGULARES E ESTRUTURAS SIMILARES, PÉ-DIREITO SIMPLES, EM CHAPA DE MADEIRA COMPENSADA RESINADA, 4 UTILIZAÇÕES. AF_09/2020</t>
  </si>
  <si>
    <t xml:space="preserve">9.6</t>
  </si>
  <si>
    <t xml:space="preserve">TRU - ARMAÇÃO (BASE)</t>
  </si>
  <si>
    <t xml:space="preserve">92767</t>
  </si>
  <si>
    <t xml:space="preserve">ARMAÇÃO DE LAJE DE ESTRUTURA CONVENCIONAL DE CONCRETO ARMADO UTILIZANDO AÇO CA-60 DE 4,2 MM - MONTAGEM. AF_06/2022</t>
  </si>
  <si>
    <t xml:space="preserve">KG</t>
  </si>
  <si>
    <t xml:space="preserve">9.7</t>
  </si>
  <si>
    <t xml:space="preserve">92760</t>
  </si>
  <si>
    <t xml:space="preserve">ARMAÇÃO DE PILAR OU VIGA DE ESTRUTURA CONVENCIONAL DE CONCRETO ARMADO UTILIZANDO AÇO CA-50 DE 6,3 MM - MONTAGEM. AF_06/2022</t>
  </si>
  <si>
    <t xml:space="preserve">9.8</t>
  </si>
  <si>
    <t xml:space="preserve">92761</t>
  </si>
  <si>
    <t xml:space="preserve">ARMAÇÃO DE PILAR OU VIGA DE ESTRUTURA CONVENCIONAL DE CONCRETO ARMADO UTILIZANDO AÇO CA-50 DE 8,0 MM - MONTAGEM. AF_06/2022</t>
  </si>
  <si>
    <t xml:space="preserve">9.9</t>
  </si>
  <si>
    <t xml:space="preserve">TRU - CONCRETO (BASE)</t>
  </si>
  <si>
    <t xml:space="preserve">CONCRETO FCK = 25MPA, TRAÇO 1:2,3:2,7 (EM MASSA SECA DE CIMENTO/ AREIA MÉDIA/ BRITA 1) - PREPARO MECÂNICO COM BETONEIRA 600 L. AF_05/2021</t>
  </si>
  <si>
    <t xml:space="preserve">9.10</t>
  </si>
  <si>
    <t xml:space="preserve">IMPERMEABILIZAÇÃO (BASE)</t>
  </si>
  <si>
    <t xml:space="preserve">98561</t>
  </si>
  <si>
    <t xml:space="preserve">IMPERMEABILIZAÇÃO DE PAREDES COM ARGAMASSA DE CIMENTO E AREIA, COM ADITIVO IMPERMEABILIZANTE, E = 2CM. AF_06/2018</t>
  </si>
  <si>
    <t xml:space="preserve">9.11</t>
  </si>
  <si>
    <t xml:space="preserve">ATERRO + COMPACTAÇÃO</t>
  </si>
  <si>
    <t xml:space="preserve">94305</t>
  </si>
  <si>
    <t xml:space="preserve">ATERRO MECANIZADO COM ESCAVADEIRA HIDRÁULICA - SOLO ARGILO-ARENOSO. AF_05/2016</t>
  </si>
  <si>
    <t xml:space="preserve">9.12</t>
  </si>
  <si>
    <t xml:space="preserve">LAJE ESCADA, DEGRAU E PATAMAR</t>
  </si>
  <si>
    <t xml:space="preserve">9.13</t>
  </si>
  <si>
    <t xml:space="preserve">GUARDA CORPO FIXADO NA BASE</t>
  </si>
  <si>
    <t xml:space="preserve">99839</t>
  </si>
  <si>
    <t xml:space="preserve">GUARDA-CORPO DE AÇO GALVANIZADO DE 1,10M DE ALTURA, MONTANTES TUBULARES DE 1.1/2_x005F_x0094_ ESPAÇADOS DE 1,20M, TRAVESSA SUPERIOR DE 2_x005F_x0094_, GRADIL FORMADO POR BARRAS CHATAS EM FERRO DE 32X4,8MM, FIXADO COM CHUMBADOR MECÂNICO. AF_04/2019_P</t>
  </si>
  <si>
    <t xml:space="preserve">9.14</t>
  </si>
  <si>
    <t xml:space="preserve">CORRIMÃO EM DUAS ALTURAS </t>
  </si>
  <si>
    <t xml:space="preserve">99857</t>
  </si>
  <si>
    <t xml:space="preserve">CORRIMÃO SIMPLES, DIÂMETRO EXTERNO = 1 1/2", EM ALUMÍNIO. AF_04/2019_P</t>
  </si>
  <si>
    <t xml:space="preserve">10</t>
  </si>
  <si>
    <t xml:space="preserve">LIMPEZA E RCC</t>
  </si>
  <si>
    <t xml:space="preserve">10.1</t>
  </si>
  <si>
    <t xml:space="preserve">LIMPEZA GERAL DA OBRA - PISOS, ESQUADRIAS, FORROS, BANCADAS E INSTALAÇÕES</t>
  </si>
  <si>
    <r>
      <rPr>
        <sz val="10"/>
        <color rgb="FF000000"/>
        <rFont val="Calibri"/>
        <family val="0"/>
        <charset val="1"/>
      </rPr>
      <t xml:space="preserve">99803
</t>
    </r>
    <r>
      <rPr>
        <i val="true"/>
        <sz val="10"/>
        <color rgb="FF000000"/>
        <rFont val="Calibri"/>
        <family val="0"/>
        <charset val="1"/>
      </rPr>
      <t xml:space="preserve">ADAPTADO</t>
    </r>
  </si>
  <si>
    <t xml:space="preserve">(ADAPTADO PARA LIMPEZA FINAL DA OBRA)
LIMPEZA DE PISO CERÂMICO OU PORCELANATO COM PANO ÚMIDO. AF_04/2019 -  PISOS, ESQUADRIAS, FORROS, BANCADAS E INSTALAÇÕES</t>
  </si>
  <si>
    <t xml:space="preserve">10.2</t>
  </si>
  <si>
    <t xml:space="preserve">RETIRADA DE ENTULHO</t>
  </si>
  <si>
    <t xml:space="preserve">00026/ORSE</t>
  </si>
  <si>
    <t xml:space="preserve">COLETA E CARGA MANUAIS DE ENTULHO</t>
  </si>
  <si>
    <t xml:space="preserve">MA</t>
  </si>
  <si>
    <t xml:space="preserve">Data do orçamento:OUTUBRO DE 2022</t>
  </si>
  <si>
    <t xml:space="preserve">COMPOSIÇÕES UENP</t>
  </si>
  <si>
    <t xml:space="preserve">PAREDE COM PLACAS DE GESSO ACARTONADO (DRYWALL), RESISTENTE A UMIDADE (RU), COR VERDE, PARA USO INTERNO, COM DUAS FACES SIMPLES E ESTRUTURA METÁLICA COM GUIAS SIMPLES, COM VÃOS AF_06/2017_P</t>
  </si>
  <si>
    <t xml:space="preserve">QNT.</t>
  </si>
  <si>
    <t xml:space="preserve">MAT. + EQUIP.</t>
  </si>
  <si>
    <t xml:space="preserve">VALOR UNITÁRIO</t>
  </si>
  <si>
    <t xml:space="preserve">VALOR TOTAL</t>
  </si>
  <si>
    <t xml:space="preserve">PINO DE ACO COM ARRUELA CONICA, DIAMETRO ARRUELA = *23* MM E COMP HASTE = *27* MM (ACAO INDIRETA)</t>
  </si>
  <si>
    <t xml:space="preserve">CENTO</t>
  </si>
  <si>
    <t xml:space="preserve">PLACA / CHAPA DE GESSO ACARTONADO, RESISTENTE A UMIDADE (RU), COR VERDE, E = 12,5 MM, 1200 X 1800 MM (L X C)</t>
  </si>
  <si>
    <t xml:space="preserve">M2</t>
  </si>
  <si>
    <t xml:space="preserve">PERFIL GUIA, FORMATO U, EM ACO ZINCADO, PARA ESTRUTURA PAREDE DRYWALL, E = 0,5 MM, 70 X 3000 MM (L X C)</t>
  </si>
  <si>
    <t xml:space="preserve">PERFIL MONTANTE, FORMATO C, EM ACO ZINCADO, PARA ESTRUTURA PAREDE DRYWALL, E = 0,5 MM, 70 X 3000 MM (L X C)</t>
  </si>
  <si>
    <t xml:space="preserve">FITA DE PAPEL MICROPERFURADO, 50 X 150 MM, PARA TRATAMENTO DE JUNTAS DE CHAPA DE GESSO PARA DRYWALL</t>
  </si>
  <si>
    <t xml:space="preserve">FITA DE PAPEL REFORCADA COM LAMINA DE METAL PARA REFORCO DE CANTOS DE CHAPA DE GESSO PARA DRYWALL</t>
  </si>
  <si>
    <t xml:space="preserve">MASSA DE REJUNTE EM PO PARA DRYWALL, A BASE DE GESSO, SECAGEM RAPIDA, PARA TRATAMENTO DE JUNTAS DE CHAPA DE GESSO (NECESSITA ADICAO DE AGUA)</t>
  </si>
  <si>
    <t xml:space="preserve">PARAFUSO DRY WALL, EM ACO FOSFATIZADO, CABECA TROMBETA E PONTA AGULHA (TA), COMPRIMENTO 25 MM</t>
  </si>
  <si>
    <t xml:space="preserve">PARAFUSO DRY WALL, EM ACO ZINCADO, CABECA LENTILHA E PONTA BROCA (LB), LARGURA 4,2 MM, COMPRIMENTO 13 MM</t>
  </si>
  <si>
    <t xml:space="preserve">MONTADOR DE ESTRUTURA METÁLICA COM ENCARGOS COMPLEMENTARES</t>
  </si>
  <si>
    <t xml:space="preserve">H</t>
  </si>
  <si>
    <t xml:space="preserve">SERVENTE COM ENCARGOS COMPLEMENTARES</t>
  </si>
  <si>
    <t xml:space="preserve">Total</t>
  </si>
  <si>
    <t xml:space="preserve">ELEMENTO VAZADO CERAMICO QUADRADO (TIPO RETO OU REDONDO), *7 A 9 X 20 X 20* CM (L X A X C)</t>
  </si>
  <si>
    <t xml:space="preserve">PEDREIRO COM ENCARGOS COMPLEMENTARES</t>
  </si>
  <si>
    <t xml:space="preserve">ARGAMASSA TRAÇO 1:3 (EM VOLUME DE CIMENTO E AREIA MÉDIA ÚMIDA), PREPARO MECÂNICO COM BETONEIRA 600 L. AF_08/2019</t>
  </si>
  <si>
    <t xml:space="preserve">M3</t>
  </si>
  <si>
    <t xml:space="preserve">!EM PROCESSO DESATIVACAO! ELETRODUTO EM ACO GALVANIZADO ELETROLITICO, LEVE, DIAMETRO 3/4", PAREDE DE 0,90 MM</t>
  </si>
  <si>
    <t xml:space="preserve">AUXILIAR DE ELETRICISTA COM ENCARGOS COMPLEMENTARES</t>
  </si>
  <si>
    <t xml:space="preserve">ELETRICISTA COM ENCARGOS COMPLEMENTARES</t>
  </si>
  <si>
    <t xml:space="preserve">FIXAÇÃO DE TUBOS VERTICAIS DE PPR DIÂMETROS MENORES OU IGUAIS A 40 MM COM ABRAÇADEIRA METÁLICA RÍGIDA TIPO D 1/2", FIXADA EM PERFILADO EM ALVENARIA. AF_05/2015</t>
  </si>
  <si>
    <t xml:space="preserve">ENCANADOR OU BOMBEIRO HIDRÁULICO COM ENCARGOS COMPLEMENTARES</t>
  </si>
  <si>
    <t xml:space="preserve">CRONOGRAMA FÍSICO- FINANCEIRO</t>
  </si>
  <si>
    <t xml:space="preserve">SERVIÇO/LOCAL</t>
  </si>
  <si>
    <t xml:space="preserve">MÊS 1</t>
  </si>
  <si>
    <t xml:space="preserve">MÊS 2</t>
  </si>
  <si>
    <t xml:space="preserve">MÊS 3</t>
  </si>
  <si>
    <t xml:space="preserve">MÊS 4</t>
  </si>
  <si>
    <t xml:space="preserve">Valores</t>
  </si>
  <si>
    <t xml:space="preserve">%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</si>
  <si>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</si>
  <si>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</si>
  <si>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</si>
  <si>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</si>
  <si>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</si>
  <si>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</si>
  <si>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</si>
  <si>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</si>
  <si>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</si>
  <si>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</si>
  <si>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</si>
  <si>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</si>
  <si>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</si>
  <si>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</si>
  <si>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</si>
  <si>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</si>
  <si>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OK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</si>
  <si>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</si>
  <si>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</si>
  <si>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</si>
  <si>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</si>
  <si>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</si>
  <si>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</si>
  <si>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</si>
  <si>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</si>
  <si>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</si>
  <si>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</si>
  <si>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</si>
  <si>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</si>
  <si>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</si>
  <si>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</si>
  <si>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</si>
  <si>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</si>
  <si>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G: TAXA DE GARANTIAS</t>
  </si>
  <si>
    <t xml:space="preserve">R: TAXA DE RISCOS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</si>
  <si>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</si>
  <si>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</si>
  <si>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</si>
  <si>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REDUZIDO</t>
  </si>
  <si>
    <t xml:space="preserve">Parâmetros do Acórdão 2.622/2013 - Plenário</t>
  </si>
  <si>
    <t xml:space="preserve">Sem CPRB</t>
  </si>
  <si>
    <t xml:space="preserve">Com CPRB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</si>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</sst>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@"/>
    <numFmt numFmtId="166" formatCode="[$R$-416]\ #,##0.00;[RED]\-[$R$-416]\ #,##0.00"/>
    <numFmt numFmtId="167" formatCode="0.00%"/>
    <numFmt numFmtId="168" formatCode="[$R$ -416]#,##0.00"/>
    <numFmt numFmtId="169" formatCode="#,##0.00"/>
    <numFmt numFmtId="170" formatCode="0.00"/>
    <numFmt numFmtId="171" formatCode="0.0%"/>
    <numFmt numFmtId="172" formatCode="_-&quot;R$ &quot;* #,##0.00_-;&quot;-R$ &quot;* #,##0.00_-;_-&quot;R$ &quot;* \-??_-;_-@"/>
    <numFmt numFmtId="173" formatCode="0%"/>
    <numFmt numFmtId="174" formatCode="D\.M"/>
  </numFmts>
  <fonts count="2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2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2"/>
      <color rgb="FFFFFFFF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EF8E3"/>
      </patternFill>
    </fill>
    <fill>
      <patternFill patternType="solid">
        <fgColor rgb="FFFFFFFF"/>
        <bgColor rgb="FFFEF8E3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>
        <color rgb="FFFEF8E3"/>
      </left>
      <right style="thin">
        <color rgb="FFFEF8E3"/>
      </right>
      <top style="thin">
        <color rgb="FFFEF8E3"/>
      </top>
      <bottom style="thin">
        <color rgb="FFFEF8E3"/>
      </bottom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999999"/>
      </left>
      <right/>
      <top style="thin">
        <color rgb="FF999999"/>
      </top>
      <bottom style="thin">
        <color rgb="FF999999"/>
      </bottom>
      <diagonal/>
    </border>
    <border diagonalUp="false" diagonalDown="false">
      <left/>
      <right/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9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4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4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5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0" fillId="4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4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4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4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4" fillId="6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6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4" fillId="0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4" fillId="6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4" fillId="6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4" fillId="6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6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4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5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5" fillId="0" borderId="1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4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6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6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4" fontId="21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2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00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A64D79"/>
      <rgbColor rgb="FFFEF8E3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BF9000"/>
      <rgbColor rgb="FFFF6600"/>
      <rgbColor rgb="FF666699"/>
      <rgbColor rgb="FF999999"/>
      <rgbColor rgb="FF003366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533880</xdr:colOff>
      <xdr:row>1</xdr:row>
      <xdr:rowOff>105120</xdr:rowOff>
    </xdr:from>
    <xdr:to>
      <xdr:col>2</xdr:col>
      <xdr:colOff>84240</xdr:colOff>
      <xdr:row>8</xdr:row>
      <xdr:rowOff>447840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018800" y="266760"/>
          <a:ext cx="1323360" cy="1571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1009800</xdr:colOff>
      <xdr:row>0</xdr:row>
      <xdr:rowOff>171360</xdr:rowOff>
    </xdr:from>
    <xdr:to>
      <xdr:col>1</xdr:col>
      <xdr:colOff>2342880</xdr:colOff>
      <xdr:row>7</xdr:row>
      <xdr:rowOff>390240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2024280" y="171360"/>
          <a:ext cx="1333080" cy="15523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1104840</xdr:colOff>
      <xdr:row>1</xdr:row>
      <xdr:rowOff>142920</xdr:rowOff>
    </xdr:from>
    <xdr:to>
      <xdr:col>2</xdr:col>
      <xdr:colOff>236880</xdr:colOff>
      <xdr:row>8</xdr:row>
      <xdr:rowOff>466560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572120" y="333360"/>
          <a:ext cx="1628280" cy="1657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76320</xdr:colOff>
      <xdr:row>20</xdr:row>
      <xdr:rowOff>38160</xdr:rowOff>
    </xdr:from>
    <xdr:to>
      <xdr:col>10</xdr:col>
      <xdr:colOff>713160</xdr:colOff>
      <xdr:row>24</xdr:row>
      <xdr:rowOff>104760</xdr:rowOff>
    </xdr:to>
    <xdr:pic>
      <xdr:nvPicPr>
        <xdr:cNvPr id="3" name="image2.png" descr=""/>
        <xdr:cNvPicPr/>
      </xdr:nvPicPr>
      <xdr:blipFill>
        <a:blip r:embed="rId1"/>
        <a:stretch/>
      </xdr:blipFill>
      <xdr:spPr>
        <a:xfrm>
          <a:off x="6164640" y="4095720"/>
          <a:ext cx="4695480" cy="866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380880</xdr:colOff>
      <xdr:row>1</xdr:row>
      <xdr:rowOff>181080</xdr:rowOff>
    </xdr:from>
    <xdr:to>
      <xdr:col>2</xdr:col>
      <xdr:colOff>727920</xdr:colOff>
      <xdr:row>7</xdr:row>
      <xdr:rowOff>399960</xdr:rowOff>
    </xdr:to>
    <xdr:pic>
      <xdr:nvPicPr>
        <xdr:cNvPr id="4" name="image1.png" descr=""/>
        <xdr:cNvPicPr/>
      </xdr:nvPicPr>
      <xdr:blipFill>
        <a:blip r:embed="rId2"/>
        <a:stretch/>
      </xdr:blipFill>
      <xdr:spPr>
        <a:xfrm>
          <a:off x="1395360" y="371520"/>
          <a:ext cx="1361880" cy="1361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BF9000"/>
    <pageSetUpPr fitToPage="true"/>
  </sheetPr>
  <dimension ref="A1:AZ3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RowHeight="15" zeroHeight="false" outlineLevelRow="0" outlineLevelCol="0"/>
  <cols>
    <col collapsed="false" customWidth="true" hidden="false" outlineLevel="0" max="1" min="1" style="0" width="6.88"/>
    <col collapsed="false" customWidth="true" hidden="false" outlineLevel="0" max="2" min="2" style="0" width="25.13"/>
    <col collapsed="false" customWidth="true" hidden="false" outlineLevel="0" max="3" min="3" style="0" width="9.74"/>
    <col collapsed="false" customWidth="true" hidden="false" outlineLevel="0" max="4" min="4" style="0" width="41.87"/>
    <col collapsed="false" customWidth="true" hidden="false" outlineLevel="0" max="5" min="5" style="0" width="5.38"/>
    <col collapsed="false" customWidth="true" hidden="false" outlineLevel="0" max="6" min="6" style="0" width="8.63"/>
    <col collapsed="false" customWidth="true" hidden="false" outlineLevel="0" max="12" min="7" style="0" width="15.26"/>
    <col collapsed="false" customWidth="true" hidden="false" outlineLevel="0" max="13" min="13" style="0" width="18.63"/>
    <col collapsed="false" customWidth="true" hidden="true" outlineLevel="0" max="14" min="14" style="0" width="17.13"/>
    <col collapsed="false" customWidth="true" hidden="true" outlineLevel="0" max="15" min="15" style="0" width="28.25"/>
    <col collapsed="false" customWidth="true" hidden="false" outlineLevel="0" max="16" min="16" style="0" width="8.75"/>
    <col collapsed="false" customWidth="true" hidden="false" outlineLevel="0" max="17" min="17" style="0" width="22.38"/>
    <col collapsed="false" customWidth="true" hidden="false" outlineLevel="0" max="52" min="18" style="0" width="8.75"/>
    <col collapsed="false" customWidth="true" hidden="false" outlineLevel="0" max="1025" min="53" style="0" width="12.63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customFormat="false" ht="12.7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customFormat="false" ht="16.5" hidden="false" customHeight="true" outlineLevel="0" collapsed="false">
      <c r="A3" s="4"/>
      <c r="B3" s="5"/>
      <c r="C3" s="5"/>
      <c r="D3" s="6" t="s">
        <v>0</v>
      </c>
      <c r="E3" s="6"/>
      <c r="F3" s="6"/>
      <c r="G3" s="6"/>
      <c r="H3" s="7"/>
      <c r="I3" s="3"/>
      <c r="J3" s="3"/>
      <c r="K3" s="3"/>
      <c r="L3" s="3"/>
      <c r="M3" s="3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customFormat="false" ht="12.75" hidden="false" customHeight="true" outlineLevel="0" collapsed="false">
      <c r="A4" s="4"/>
      <c r="B4" s="5"/>
      <c r="C4" s="5"/>
      <c r="D4" s="8" t="s">
        <v>1</v>
      </c>
      <c r="E4" s="8"/>
      <c r="F4" s="8"/>
      <c r="G4" s="8"/>
      <c r="H4" s="3"/>
      <c r="I4" s="3"/>
      <c r="J4" s="3"/>
      <c r="K4" s="3"/>
      <c r="L4" s="9" t="s">
        <v>2</v>
      </c>
      <c r="M4" s="10" t="n">
        <v>0.2602</v>
      </c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customFormat="false" ht="12.75" hidden="false" customHeight="true" outlineLevel="0" collapsed="false">
      <c r="A5" s="4"/>
      <c r="B5" s="5"/>
      <c r="C5" s="5"/>
      <c r="D5" s="11" t="s">
        <v>3</v>
      </c>
      <c r="E5" s="11"/>
      <c r="F5" s="11"/>
      <c r="G5" s="11"/>
      <c r="H5" s="3"/>
      <c r="I5" s="3"/>
      <c r="J5" s="3"/>
      <c r="K5" s="3"/>
      <c r="L5" s="12"/>
      <c r="M5" s="12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customFormat="false" ht="15" hidden="false" customHeight="true" outlineLevel="0" collapsed="false">
      <c r="A6" s="4"/>
      <c r="B6" s="5"/>
      <c r="C6" s="5"/>
      <c r="D6" s="13" t="s">
        <v>4</v>
      </c>
      <c r="E6" s="13"/>
      <c r="F6" s="13"/>
      <c r="G6" s="13"/>
      <c r="H6" s="14"/>
      <c r="I6" s="14"/>
      <c r="J6" s="14"/>
      <c r="K6" s="14"/>
      <c r="L6" s="15" t="s">
        <v>5</v>
      </c>
      <c r="M6" s="16" t="n">
        <f aca="false">M7/(1+M4)</f>
        <v>62418.5922869386</v>
      </c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customFormat="false" ht="13.5" hidden="false" customHeight="true" outlineLevel="0" collapsed="false">
      <c r="A7" s="4"/>
      <c r="B7" s="5"/>
      <c r="C7" s="5"/>
      <c r="D7" s="8" t="s">
        <v>6</v>
      </c>
      <c r="E7" s="8"/>
      <c r="F7" s="8"/>
      <c r="G7" s="8"/>
      <c r="H7" s="14"/>
      <c r="I7" s="14"/>
      <c r="J7" s="14"/>
      <c r="K7" s="14"/>
      <c r="L7" s="15" t="s">
        <v>7</v>
      </c>
      <c r="M7" s="16" t="n">
        <f aca="false">SUM(N12:N170)</f>
        <v>78659.91</v>
      </c>
      <c r="N7" s="2" t="n">
        <f aca="false">SUM(N11:N164)</f>
        <v>78659.91</v>
      </c>
      <c r="O7" s="17" t="n">
        <f aca="false">SUM(O13:O195)</f>
        <v>62628.67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customFormat="false" ht="13.5" hidden="false" customHeight="true" outlineLevel="0" collapsed="false">
      <c r="A8" s="4"/>
      <c r="B8" s="5"/>
      <c r="C8" s="5"/>
      <c r="D8" s="18" t="s">
        <v>8</v>
      </c>
      <c r="E8" s="18"/>
      <c r="F8" s="18"/>
      <c r="G8" s="18"/>
      <c r="H8" s="3"/>
      <c r="I8" s="14"/>
      <c r="J8" s="3"/>
      <c r="K8" s="3"/>
      <c r="L8" s="3"/>
      <c r="M8" s="19"/>
      <c r="N8" s="2"/>
      <c r="O8" s="17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customFormat="false" ht="35.25" hidden="false" customHeight="true" outlineLevel="0" collapsed="false">
      <c r="A9" s="4"/>
      <c r="B9" s="5"/>
      <c r="C9" s="5"/>
      <c r="D9" s="20" t="s">
        <v>9</v>
      </c>
      <c r="E9" s="20"/>
      <c r="F9" s="20"/>
      <c r="G9" s="20"/>
      <c r="H9" s="3"/>
      <c r="I9" s="3"/>
      <c r="J9" s="3"/>
      <c r="K9" s="3"/>
      <c r="L9" s="3"/>
      <c r="M9" s="3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customFormat="false" ht="12.7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customFormat="false" ht="15" hidden="false" customHeight="true" outlineLevel="0" collapsed="false">
      <c r="A11" s="21" t="s">
        <v>10</v>
      </c>
      <c r="B11" s="21" t="s">
        <v>11</v>
      </c>
      <c r="C11" s="22" t="s">
        <v>12</v>
      </c>
      <c r="D11" s="23" t="s">
        <v>13</v>
      </c>
      <c r="E11" s="24" t="s">
        <v>14</v>
      </c>
      <c r="F11" s="25" t="s">
        <v>15</v>
      </c>
      <c r="G11" s="24" t="s">
        <v>16</v>
      </c>
      <c r="H11" s="24"/>
      <c r="I11" s="24"/>
      <c r="J11" s="24" t="s">
        <v>17</v>
      </c>
      <c r="K11" s="24"/>
      <c r="L11" s="24"/>
      <c r="M11" s="26" t="s">
        <v>18</v>
      </c>
      <c r="N11" s="2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customFormat="false" ht="12.75" hidden="false" customHeight="true" outlineLevel="0" collapsed="false">
      <c r="A12" s="21"/>
      <c r="B12" s="21"/>
      <c r="C12" s="21"/>
      <c r="D12" s="21"/>
      <c r="E12" s="21"/>
      <c r="F12" s="21"/>
      <c r="G12" s="24" t="s">
        <v>19</v>
      </c>
      <c r="H12" s="24" t="s">
        <v>20</v>
      </c>
      <c r="I12" s="24" t="s">
        <v>21</v>
      </c>
      <c r="J12" s="24" t="s">
        <v>22</v>
      </c>
      <c r="K12" s="24" t="s">
        <v>20</v>
      </c>
      <c r="L12" s="24" t="s">
        <v>21</v>
      </c>
      <c r="M12" s="26"/>
      <c r="N12" s="2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customFormat="false" ht="15" hidden="false" customHeight="true" outlineLevel="0" collapsed="false">
      <c r="A13" s="28" t="s">
        <v>23</v>
      </c>
      <c r="B13" s="29" t="s">
        <v>24</v>
      </c>
      <c r="C13" s="29"/>
      <c r="D13" s="30"/>
      <c r="E13" s="31"/>
      <c r="F13" s="32"/>
      <c r="G13" s="33"/>
      <c r="H13" s="33"/>
      <c r="I13" s="33"/>
      <c r="J13" s="33" t="n">
        <f aca="false">SUM(J14:J23)</f>
        <v>500.8558</v>
      </c>
      <c r="K13" s="33" t="n">
        <f aca="false">SUM(K14:K23)</f>
        <v>1190.8122</v>
      </c>
      <c r="L13" s="33" t="n">
        <f aca="false">SUM(L14:L23)</f>
        <v>1691.668</v>
      </c>
      <c r="M13" s="33" t="n">
        <f aca="false">SUM(M14:M23)</f>
        <v>2131.83</v>
      </c>
      <c r="N13" s="34" t="n">
        <f aca="false">M13</f>
        <v>2131.83</v>
      </c>
      <c r="O13" s="34" t="n">
        <f aca="false">M13</f>
        <v>2131.83</v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</row>
    <row r="14" customFormat="false" ht="15" hidden="false" customHeight="false" outlineLevel="0" collapsed="false">
      <c r="A14" s="36" t="s">
        <v>25</v>
      </c>
      <c r="B14" s="37" t="s">
        <v>26</v>
      </c>
      <c r="C14" s="36" t="s">
        <v>27</v>
      </c>
      <c r="D14" s="38" t="s">
        <v>28</v>
      </c>
      <c r="E14" s="39" t="s">
        <v>29</v>
      </c>
      <c r="F14" s="40" t="n">
        <v>2.5</v>
      </c>
      <c r="G14" s="41" t="n">
        <v>16.61</v>
      </c>
      <c r="H14" s="41" t="n">
        <v>39.29</v>
      </c>
      <c r="I14" s="41" t="n">
        <f aca="false">SUM(G14:H14)</f>
        <v>55.9</v>
      </c>
      <c r="J14" s="41" t="n">
        <f aca="false">G14*F14</f>
        <v>41.525</v>
      </c>
      <c r="K14" s="41" t="n">
        <f aca="false">H14*F14</f>
        <v>98.225</v>
      </c>
      <c r="L14" s="41" t="n">
        <f aca="false">I14*F14</f>
        <v>139.75</v>
      </c>
      <c r="M14" s="41" t="n">
        <f aca="false">ROUND(L14*(1+$M$4),2)</f>
        <v>176.11</v>
      </c>
      <c r="N14" s="42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</row>
    <row r="15" customFormat="false" ht="15" hidden="false" customHeight="false" outlineLevel="0" collapsed="false">
      <c r="A15" s="36" t="s">
        <v>30</v>
      </c>
      <c r="B15" s="37" t="s">
        <v>31</v>
      </c>
      <c r="C15" s="36" t="s">
        <v>32</v>
      </c>
      <c r="D15" s="38" t="s">
        <v>33</v>
      </c>
      <c r="E15" s="39" t="s">
        <v>34</v>
      </c>
      <c r="F15" s="40" t="n">
        <v>49.2</v>
      </c>
      <c r="G15" s="41" t="n">
        <v>3.45</v>
      </c>
      <c r="H15" s="41" t="n">
        <v>8.7</v>
      </c>
      <c r="I15" s="41" t="n">
        <f aca="false">SUM(G15:H15)</f>
        <v>12.15</v>
      </c>
      <c r="J15" s="41" t="n">
        <f aca="false">G15*F15</f>
        <v>169.74</v>
      </c>
      <c r="K15" s="41" t="n">
        <f aca="false">H15*F15</f>
        <v>428.04</v>
      </c>
      <c r="L15" s="41" t="n">
        <f aca="false">I15*F15</f>
        <v>597.78</v>
      </c>
      <c r="M15" s="41" t="n">
        <f aca="false">ROUND(L15*(1+$M$4),2)</f>
        <v>753.32</v>
      </c>
      <c r="N15" s="42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</row>
    <row r="16" customFormat="false" ht="15" hidden="false" customHeight="false" outlineLevel="0" collapsed="false">
      <c r="A16" s="36" t="s">
        <v>35</v>
      </c>
      <c r="B16" s="37" t="s">
        <v>36</v>
      </c>
      <c r="C16" s="36" t="s">
        <v>27</v>
      </c>
      <c r="D16" s="38" t="s">
        <v>28</v>
      </c>
      <c r="E16" s="39" t="s">
        <v>29</v>
      </c>
      <c r="F16" s="40" t="n">
        <v>0.15</v>
      </c>
      <c r="G16" s="41" t="n">
        <v>16.61</v>
      </c>
      <c r="H16" s="41" t="n">
        <v>39.29</v>
      </c>
      <c r="I16" s="41" t="n">
        <f aca="false">SUM(G16:H16)</f>
        <v>55.9</v>
      </c>
      <c r="J16" s="41" t="n">
        <f aca="false">G16*F16</f>
        <v>2.4915</v>
      </c>
      <c r="K16" s="41" t="n">
        <f aca="false">H16*F16</f>
        <v>5.8935</v>
      </c>
      <c r="L16" s="41" t="n">
        <f aca="false">I16*F16</f>
        <v>8.385</v>
      </c>
      <c r="M16" s="41" t="n">
        <f aca="false">ROUND(L16*(1+$M$4),2)</f>
        <v>10.57</v>
      </c>
      <c r="N16" s="42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</row>
    <row r="17" customFormat="false" ht="15" hidden="false" customHeight="false" outlineLevel="0" collapsed="false">
      <c r="A17" s="36" t="s">
        <v>37</v>
      </c>
      <c r="B17" s="37" t="s">
        <v>38</v>
      </c>
      <c r="C17" s="36" t="s">
        <v>39</v>
      </c>
      <c r="D17" s="38" t="s">
        <v>40</v>
      </c>
      <c r="E17" s="39" t="s">
        <v>34</v>
      </c>
      <c r="F17" s="40" t="n">
        <v>15.6</v>
      </c>
      <c r="G17" s="41" t="n">
        <v>0.43</v>
      </c>
      <c r="H17" s="41" t="n">
        <v>1.29</v>
      </c>
      <c r="I17" s="41" t="n">
        <f aca="false">SUM(G17:H17)</f>
        <v>1.72</v>
      </c>
      <c r="J17" s="41" t="n">
        <f aca="false">G17*F17</f>
        <v>6.708</v>
      </c>
      <c r="K17" s="41" t="n">
        <f aca="false">H17*F17</f>
        <v>20.124</v>
      </c>
      <c r="L17" s="41" t="n">
        <f aca="false">I17*F17</f>
        <v>26.832</v>
      </c>
      <c r="M17" s="41" t="n">
        <f aca="false">ROUND(L17*(1+$M$4),2)</f>
        <v>33.81</v>
      </c>
      <c r="N17" s="42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</row>
    <row r="18" customFormat="false" ht="15" hidden="false" customHeight="false" outlineLevel="0" collapsed="false">
      <c r="A18" s="36" t="s">
        <v>41</v>
      </c>
      <c r="B18" s="37" t="s">
        <v>42</v>
      </c>
      <c r="C18" s="36" t="s">
        <v>43</v>
      </c>
      <c r="D18" s="38" t="s">
        <v>44</v>
      </c>
      <c r="E18" s="39" t="s">
        <v>34</v>
      </c>
      <c r="F18" s="40" t="n">
        <v>5.67</v>
      </c>
      <c r="G18" s="41" t="n">
        <v>2.51</v>
      </c>
      <c r="H18" s="41" t="n">
        <v>6.63</v>
      </c>
      <c r="I18" s="41" t="n">
        <f aca="false">SUM(G18:H18)</f>
        <v>9.14</v>
      </c>
      <c r="J18" s="41" t="n">
        <f aca="false">G18*F18</f>
        <v>14.2317</v>
      </c>
      <c r="K18" s="41" t="n">
        <f aca="false">H18*F18</f>
        <v>37.5921</v>
      </c>
      <c r="L18" s="41" t="n">
        <f aca="false">I18*F18</f>
        <v>51.8238</v>
      </c>
      <c r="M18" s="41" t="n">
        <f aca="false">ROUND(L18*(1+$M$4),2)</f>
        <v>65.31</v>
      </c>
      <c r="N18" s="42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</row>
    <row r="19" customFormat="false" ht="15" hidden="false" customHeight="false" outlineLevel="0" collapsed="false">
      <c r="A19" s="36" t="s">
        <v>45</v>
      </c>
      <c r="B19" s="37" t="s">
        <v>46</v>
      </c>
      <c r="C19" s="36" t="s">
        <v>47</v>
      </c>
      <c r="D19" s="38" t="s">
        <v>48</v>
      </c>
      <c r="E19" s="39" t="s">
        <v>34</v>
      </c>
      <c r="F19" s="40" t="n">
        <f aca="false">2</f>
        <v>2</v>
      </c>
      <c r="G19" s="41" t="n">
        <v>15.97</v>
      </c>
      <c r="H19" s="41" t="n">
        <v>18.3</v>
      </c>
      <c r="I19" s="41" t="n">
        <f aca="false">SUM(G19:H19)</f>
        <v>34.27</v>
      </c>
      <c r="J19" s="41" t="n">
        <f aca="false">G19*F19</f>
        <v>31.94</v>
      </c>
      <c r="K19" s="41" t="n">
        <f aca="false">H19*F19</f>
        <v>36.6</v>
      </c>
      <c r="L19" s="41" t="n">
        <f aca="false">I19*F19</f>
        <v>68.54</v>
      </c>
      <c r="M19" s="41" t="n">
        <f aca="false">ROUND(L19*(1+$M$4),2)</f>
        <v>86.37</v>
      </c>
      <c r="N19" s="42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</row>
    <row r="20" customFormat="false" ht="15" hidden="false" customHeight="false" outlineLevel="0" collapsed="false">
      <c r="A20" s="36" t="s">
        <v>49</v>
      </c>
      <c r="B20" s="37" t="s">
        <v>50</v>
      </c>
      <c r="C20" s="36" t="s">
        <v>27</v>
      </c>
      <c r="D20" s="38" t="s">
        <v>28</v>
      </c>
      <c r="E20" s="39" t="s">
        <v>29</v>
      </c>
      <c r="F20" s="40" t="n">
        <f aca="false">(3.1*2.8)+(1*2.8)</f>
        <v>11.48</v>
      </c>
      <c r="G20" s="41" t="n">
        <v>16.61</v>
      </c>
      <c r="H20" s="41" t="n">
        <v>39.29</v>
      </c>
      <c r="I20" s="41" t="n">
        <f aca="false">SUM(G20:H20)</f>
        <v>55.9</v>
      </c>
      <c r="J20" s="41" t="n">
        <f aca="false">G20*F20</f>
        <v>190.6828</v>
      </c>
      <c r="K20" s="41" t="n">
        <f aca="false">H20*F20</f>
        <v>451.0492</v>
      </c>
      <c r="L20" s="41" t="n">
        <f aca="false">I20*F20</f>
        <v>641.732</v>
      </c>
      <c r="M20" s="41" t="n">
        <f aca="false">ROUND(L20*(1+$M$4),2)</f>
        <v>808.71</v>
      </c>
      <c r="N20" s="42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</row>
    <row r="21" customFormat="false" ht="15" hidden="false" customHeight="false" outlineLevel="0" collapsed="false">
      <c r="A21" s="36" t="s">
        <v>51</v>
      </c>
      <c r="B21" s="37" t="s">
        <v>52</v>
      </c>
      <c r="C21" s="36" t="s">
        <v>53</v>
      </c>
      <c r="D21" s="38" t="s">
        <v>54</v>
      </c>
      <c r="E21" s="39" t="s">
        <v>29</v>
      </c>
      <c r="F21" s="40" t="n">
        <v>1.5</v>
      </c>
      <c r="G21" s="41" t="n">
        <v>16.61</v>
      </c>
      <c r="H21" s="41" t="n">
        <v>39.29</v>
      </c>
      <c r="I21" s="41" t="n">
        <f aca="false">SUM(G21:H21)</f>
        <v>55.9</v>
      </c>
      <c r="J21" s="41" t="n">
        <f aca="false">G21*F21</f>
        <v>24.915</v>
      </c>
      <c r="K21" s="41" t="n">
        <f aca="false">H21*F21</f>
        <v>58.935</v>
      </c>
      <c r="L21" s="41" t="n">
        <f aca="false">I21*F21</f>
        <v>83.85</v>
      </c>
      <c r="M21" s="41" t="n">
        <f aca="false">ROUND(L21*(1+$M$4),2)</f>
        <v>105.67</v>
      </c>
      <c r="N21" s="42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</row>
    <row r="22" customFormat="false" ht="15" hidden="false" customHeight="false" outlineLevel="0" collapsed="false">
      <c r="A22" s="36" t="s">
        <v>55</v>
      </c>
      <c r="B22" s="37" t="s">
        <v>56</v>
      </c>
      <c r="C22" s="36" t="s">
        <v>43</v>
      </c>
      <c r="D22" s="38" t="s">
        <v>44</v>
      </c>
      <c r="E22" s="39" t="s">
        <v>34</v>
      </c>
      <c r="F22" s="40" t="n">
        <f aca="false">0.8*2.1</f>
        <v>1.68</v>
      </c>
      <c r="G22" s="41" t="n">
        <v>2.51</v>
      </c>
      <c r="H22" s="41" t="n">
        <v>6.63</v>
      </c>
      <c r="I22" s="41" t="n">
        <f aca="false">SUM(G22:H22)</f>
        <v>9.14</v>
      </c>
      <c r="J22" s="41" t="n">
        <f aca="false">G22*F22</f>
        <v>4.2168</v>
      </c>
      <c r="K22" s="41" t="n">
        <f aca="false">H22*F22</f>
        <v>11.1384</v>
      </c>
      <c r="L22" s="41" t="n">
        <f aca="false">I22*F22</f>
        <v>15.3552</v>
      </c>
      <c r="M22" s="41" t="n">
        <f aca="false">ROUND(L22*(1+$M$4),2)</f>
        <v>19.35</v>
      </c>
      <c r="N22" s="42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</row>
    <row r="23" customFormat="false" ht="15" hidden="false" customHeight="false" outlineLevel="0" collapsed="false">
      <c r="A23" s="36" t="s">
        <v>57</v>
      </c>
      <c r="B23" s="37" t="s">
        <v>58</v>
      </c>
      <c r="C23" s="36" t="s">
        <v>39</v>
      </c>
      <c r="D23" s="38" t="s">
        <v>40</v>
      </c>
      <c r="E23" s="39" t="s">
        <v>34</v>
      </c>
      <c r="F23" s="40" t="n">
        <f aca="false">7.8+25.7</f>
        <v>33.5</v>
      </c>
      <c r="G23" s="41" t="n">
        <v>0.43</v>
      </c>
      <c r="H23" s="41" t="n">
        <v>1.29</v>
      </c>
      <c r="I23" s="41" t="n">
        <f aca="false">SUM(G23:H23)</f>
        <v>1.72</v>
      </c>
      <c r="J23" s="41" t="n">
        <f aca="false">G23*F23</f>
        <v>14.405</v>
      </c>
      <c r="K23" s="41" t="n">
        <f aca="false">H23*F23</f>
        <v>43.215</v>
      </c>
      <c r="L23" s="41" t="n">
        <f aca="false">I23*F23</f>
        <v>57.62</v>
      </c>
      <c r="M23" s="41" t="n">
        <f aca="false">ROUND(L23*(1+$M$4),2)</f>
        <v>72.61</v>
      </c>
      <c r="N23" s="42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</row>
    <row r="24" customFormat="false" ht="15" hidden="false" customHeight="false" outlineLevel="0" collapsed="false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3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</row>
    <row r="25" customFormat="false" ht="15" hidden="false" customHeight="true" outlineLevel="0" collapsed="false">
      <c r="A25" s="28" t="s">
        <v>59</v>
      </c>
      <c r="B25" s="29" t="s">
        <v>60</v>
      </c>
      <c r="C25" s="29"/>
      <c r="D25" s="30"/>
      <c r="E25" s="31"/>
      <c r="F25" s="32"/>
      <c r="G25" s="33"/>
      <c r="H25" s="33"/>
      <c r="I25" s="33"/>
      <c r="J25" s="33" t="n">
        <f aca="false">SUM(J26:J37)</f>
        <v>2792.5077</v>
      </c>
      <c r="K25" s="33" t="n">
        <f aca="false">SUM(K26:K37)</f>
        <v>1825.6872</v>
      </c>
      <c r="L25" s="33" t="n">
        <f aca="false">SUM(L26:L37)</f>
        <v>4618.1949</v>
      </c>
      <c r="M25" s="33" t="n">
        <f aca="false">SUM(M26:M37)</f>
        <v>5819.86</v>
      </c>
      <c r="N25" s="46" t="n">
        <f aca="false">M25</f>
        <v>5819.86</v>
      </c>
      <c r="O25" s="47" t="n">
        <f aca="false">M25</f>
        <v>5819.86</v>
      </c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</row>
    <row r="26" customFormat="false" ht="15" hidden="false" customHeight="false" outlineLevel="0" collapsed="false">
      <c r="A26" s="49" t="s">
        <v>61</v>
      </c>
      <c r="B26" s="50" t="s">
        <v>62</v>
      </c>
      <c r="C26" s="49" t="s">
        <v>63</v>
      </c>
      <c r="D26" s="51" t="s">
        <v>64</v>
      </c>
      <c r="E26" s="52" t="s">
        <v>29</v>
      </c>
      <c r="F26" s="53" t="n">
        <v>0.8</v>
      </c>
      <c r="G26" s="54" t="n">
        <v>317.66</v>
      </c>
      <c r="H26" s="54" t="n">
        <v>61.82</v>
      </c>
      <c r="I26" s="54" t="n">
        <f aca="false">G26+H26</f>
        <v>379.48</v>
      </c>
      <c r="J26" s="54" t="n">
        <f aca="false">G26*F26</f>
        <v>254.128</v>
      </c>
      <c r="K26" s="54" t="n">
        <f aca="false">H26*F26</f>
        <v>49.456</v>
      </c>
      <c r="L26" s="54" t="n">
        <f aca="false">J26+K26</f>
        <v>303.584</v>
      </c>
      <c r="M26" s="54" t="n">
        <f aca="false">ROUND(L26*(1+$M$4),2)</f>
        <v>382.58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</row>
    <row r="27" customFormat="false" ht="15" hidden="false" customHeight="false" outlineLevel="0" collapsed="false">
      <c r="A27" s="49" t="s">
        <v>65</v>
      </c>
      <c r="B27" s="50" t="s">
        <v>66</v>
      </c>
      <c r="C27" s="49" t="s">
        <v>67</v>
      </c>
      <c r="D27" s="51" t="s">
        <v>68</v>
      </c>
      <c r="E27" s="52" t="s">
        <v>34</v>
      </c>
      <c r="F27" s="53" t="n">
        <v>33.7</v>
      </c>
      <c r="G27" s="54" t="n">
        <v>2.11</v>
      </c>
      <c r="H27" s="54" t="n">
        <v>1.87</v>
      </c>
      <c r="I27" s="54" t="n">
        <f aca="false">G27+H27</f>
        <v>3.98</v>
      </c>
      <c r="J27" s="54" t="n">
        <f aca="false">G27*F27</f>
        <v>71.107</v>
      </c>
      <c r="K27" s="54" t="n">
        <f aca="false">H27*F27</f>
        <v>63.019</v>
      </c>
      <c r="L27" s="54" t="n">
        <f aca="false">J27+K27</f>
        <v>134.126</v>
      </c>
      <c r="M27" s="54" t="n">
        <f aca="false">ROUND(L27*(1+$M$4),2)</f>
        <v>169.03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</row>
    <row r="28" customFormat="false" ht="15" hidden="false" customHeight="false" outlineLevel="0" collapsed="false">
      <c r="A28" s="49" t="s">
        <v>69</v>
      </c>
      <c r="B28" s="50" t="s">
        <v>66</v>
      </c>
      <c r="C28" s="49" t="s">
        <v>70</v>
      </c>
      <c r="D28" s="51" t="s">
        <v>71</v>
      </c>
      <c r="E28" s="52" t="s">
        <v>34</v>
      </c>
      <c r="F28" s="53" t="n">
        <v>33.7</v>
      </c>
      <c r="G28" s="54" t="n">
        <v>17.71</v>
      </c>
      <c r="H28" s="54" t="n">
        <v>13.98</v>
      </c>
      <c r="I28" s="54" t="n">
        <f aca="false">SUM(G28:H28)</f>
        <v>31.69</v>
      </c>
      <c r="J28" s="54" t="n">
        <f aca="false">G28*F28</f>
        <v>596.827</v>
      </c>
      <c r="K28" s="54" t="n">
        <f aca="false">H28*F28</f>
        <v>471.126</v>
      </c>
      <c r="L28" s="54" t="n">
        <f aca="false">J28+K28</f>
        <v>1067.953</v>
      </c>
      <c r="M28" s="54" t="n">
        <f aca="false">ROUND(L28*(1+$M$4),2)</f>
        <v>1345.83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</row>
    <row r="29" customFormat="false" ht="15" hidden="false" customHeight="false" outlineLevel="0" collapsed="false">
      <c r="A29" s="49" t="s">
        <v>72</v>
      </c>
      <c r="B29" s="50" t="s">
        <v>73</v>
      </c>
      <c r="C29" s="49" t="s">
        <v>67</v>
      </c>
      <c r="D29" s="51" t="s">
        <v>68</v>
      </c>
      <c r="E29" s="52" t="s">
        <v>34</v>
      </c>
      <c r="F29" s="53" t="n">
        <v>3.1</v>
      </c>
      <c r="G29" s="54" t="n">
        <v>2.11</v>
      </c>
      <c r="H29" s="54" t="n">
        <v>1.87</v>
      </c>
      <c r="I29" s="54" t="n">
        <f aca="false">G29+H29</f>
        <v>3.98</v>
      </c>
      <c r="J29" s="54" t="n">
        <f aca="false">G29*F29</f>
        <v>6.541</v>
      </c>
      <c r="K29" s="54" t="n">
        <f aca="false">H29*F29</f>
        <v>5.797</v>
      </c>
      <c r="L29" s="54" t="n">
        <f aca="false">J29+K29</f>
        <v>12.338</v>
      </c>
      <c r="M29" s="54" t="n">
        <f aca="false">ROUND(L29*(1+$M$4),2)</f>
        <v>15.55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</row>
    <row r="30" customFormat="false" ht="15" hidden="false" customHeight="false" outlineLevel="0" collapsed="false">
      <c r="A30" s="49" t="s">
        <v>74</v>
      </c>
      <c r="B30" s="50" t="s">
        <v>73</v>
      </c>
      <c r="C30" s="49" t="s">
        <v>75</v>
      </c>
      <c r="D30" s="51" t="s">
        <v>76</v>
      </c>
      <c r="E30" s="52" t="s">
        <v>34</v>
      </c>
      <c r="F30" s="53" t="n">
        <v>3.1</v>
      </c>
      <c r="G30" s="54" t="n">
        <v>18.08</v>
      </c>
      <c r="H30" s="54" t="n">
        <v>15</v>
      </c>
      <c r="I30" s="54" t="n">
        <f aca="false">SUM(G30:H30)</f>
        <v>33.08</v>
      </c>
      <c r="J30" s="54" t="n">
        <f aca="false">G30*F30</f>
        <v>56.048</v>
      </c>
      <c r="K30" s="54" t="n">
        <f aca="false">H30*F30</f>
        <v>46.5</v>
      </c>
      <c r="L30" s="54" t="n">
        <f aca="false">J30+K30</f>
        <v>102.548</v>
      </c>
      <c r="M30" s="54" t="n">
        <f aca="false">ROUND(L30*(1+$M$4),2)</f>
        <v>129.23</v>
      </c>
      <c r="N30" s="55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</row>
    <row r="31" customFormat="false" ht="15" hidden="false" customHeight="false" outlineLevel="0" collapsed="false">
      <c r="A31" s="49" t="s">
        <v>77</v>
      </c>
      <c r="B31" s="50" t="s">
        <v>78</v>
      </c>
      <c r="C31" s="49" t="s">
        <v>79</v>
      </c>
      <c r="D31" s="51" t="s">
        <v>80</v>
      </c>
      <c r="E31" s="52" t="s">
        <v>34</v>
      </c>
      <c r="F31" s="53" t="n">
        <f aca="false">(1*2.1)+2+(0.8*0.7)+(0.7*2.1)</f>
        <v>6.13</v>
      </c>
      <c r="G31" s="54" t="n">
        <v>75.42</v>
      </c>
      <c r="H31" s="54" t="n">
        <v>67.29</v>
      </c>
      <c r="I31" s="54" t="n">
        <f aca="false">SUM(G31:H31)</f>
        <v>142.71</v>
      </c>
      <c r="J31" s="54" t="n">
        <f aca="false">G31*F31</f>
        <v>462.3246</v>
      </c>
      <c r="K31" s="54" t="n">
        <f aca="false">H31*F31</f>
        <v>412.4877</v>
      </c>
      <c r="L31" s="54" t="n">
        <f aca="false">J31+K31</f>
        <v>874.8123</v>
      </c>
      <c r="M31" s="54" t="n">
        <f aca="false">ROUND(L31*(1+$M$4),2)</f>
        <v>1102.44</v>
      </c>
      <c r="N31" s="55"/>
      <c r="O31" s="56"/>
      <c r="P31" s="56" t="s">
        <v>81</v>
      </c>
      <c r="Q31" s="58" t="n">
        <v>1</v>
      </c>
      <c r="R31" s="56"/>
      <c r="S31" s="56"/>
      <c r="T31" s="56" t="s">
        <v>82</v>
      </c>
      <c r="U31" s="58" t="n">
        <v>0</v>
      </c>
      <c r="V31" s="56"/>
      <c r="W31" s="56"/>
      <c r="X31" s="56" t="s">
        <v>82</v>
      </c>
      <c r="Y31" s="58" t="n">
        <v>0</v>
      </c>
      <c r="Z31" s="56"/>
      <c r="AA31" s="56"/>
      <c r="AB31" s="56" t="s">
        <v>82</v>
      </c>
      <c r="AC31" s="58" t="n">
        <v>0</v>
      </c>
      <c r="AD31" s="56"/>
      <c r="AE31" s="56"/>
      <c r="AF31" s="56" t="s">
        <v>82</v>
      </c>
      <c r="AG31" s="58" t="n">
        <v>0</v>
      </c>
      <c r="AH31" s="56"/>
      <c r="AI31" s="56" t="s">
        <v>81</v>
      </c>
      <c r="AJ31" s="58" t="n">
        <v>1</v>
      </c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</row>
    <row r="32" customFormat="false" ht="15" hidden="false" customHeight="false" outlineLevel="0" collapsed="false">
      <c r="A32" s="49" t="s">
        <v>83</v>
      </c>
      <c r="B32" s="50" t="s">
        <v>78</v>
      </c>
      <c r="C32" s="49" t="s">
        <v>67</v>
      </c>
      <c r="D32" s="51" t="s">
        <v>68</v>
      </c>
      <c r="E32" s="52" t="s">
        <v>34</v>
      </c>
      <c r="F32" s="53" t="n">
        <f aca="false">F31*2</f>
        <v>12.26</v>
      </c>
      <c r="G32" s="54" t="n">
        <v>2.11</v>
      </c>
      <c r="H32" s="54" t="n">
        <v>1.87</v>
      </c>
      <c r="I32" s="54" t="n">
        <f aca="false">SUM(G32:H32)</f>
        <v>3.98</v>
      </c>
      <c r="J32" s="54" t="n">
        <f aca="false">G32*F32</f>
        <v>25.8686</v>
      </c>
      <c r="K32" s="54" t="n">
        <f aca="false">H32*F32</f>
        <v>22.9262</v>
      </c>
      <c r="L32" s="54" t="n">
        <f aca="false">J32+K32</f>
        <v>48.7948</v>
      </c>
      <c r="M32" s="54" t="n">
        <f aca="false">ROUND(L32*(1+$M$4),2)</f>
        <v>61.49</v>
      </c>
      <c r="N32" s="55"/>
      <c r="O32" s="56"/>
      <c r="P32" s="56" t="s">
        <v>84</v>
      </c>
      <c r="Q32" s="58" t="n">
        <v>1</v>
      </c>
      <c r="R32" s="56"/>
      <c r="S32" s="56"/>
      <c r="T32" s="56" t="s">
        <v>82</v>
      </c>
      <c r="U32" s="58" t="n">
        <v>0</v>
      </c>
      <c r="V32" s="56"/>
      <c r="W32" s="56"/>
      <c r="X32" s="56" t="s">
        <v>82</v>
      </c>
      <c r="Y32" s="58" t="n">
        <v>0</v>
      </c>
      <c r="Z32" s="56"/>
      <c r="AA32" s="56"/>
      <c r="AB32" s="56" t="s">
        <v>82</v>
      </c>
      <c r="AC32" s="58" t="n">
        <v>0</v>
      </c>
      <c r="AD32" s="56"/>
      <c r="AE32" s="56"/>
      <c r="AF32" s="56" t="s">
        <v>82</v>
      </c>
      <c r="AG32" s="58" t="n">
        <v>0</v>
      </c>
      <c r="AH32" s="56"/>
      <c r="AI32" s="56" t="s">
        <v>84</v>
      </c>
      <c r="AJ32" s="58" t="n">
        <v>1</v>
      </c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</row>
    <row r="33" customFormat="false" ht="15" hidden="false" customHeight="false" outlineLevel="0" collapsed="false">
      <c r="A33" s="49" t="s">
        <v>85</v>
      </c>
      <c r="B33" s="50" t="s">
        <v>78</v>
      </c>
      <c r="C33" s="49" t="s">
        <v>75</v>
      </c>
      <c r="D33" s="51" t="s">
        <v>76</v>
      </c>
      <c r="E33" s="52" t="s">
        <v>34</v>
      </c>
      <c r="F33" s="53" t="n">
        <f aca="false">F31*2</f>
        <v>12.26</v>
      </c>
      <c r="G33" s="54" t="n">
        <v>18.08</v>
      </c>
      <c r="H33" s="54" t="n">
        <v>15</v>
      </c>
      <c r="I33" s="54" t="n">
        <f aca="false">SUM(G33:H33)</f>
        <v>33.08</v>
      </c>
      <c r="J33" s="54" t="n">
        <f aca="false">G33*F33</f>
        <v>221.6608</v>
      </c>
      <c r="K33" s="54" t="n">
        <f aca="false">H33*F33</f>
        <v>183.9</v>
      </c>
      <c r="L33" s="54" t="n">
        <f aca="false">J33+K33</f>
        <v>405.5608</v>
      </c>
      <c r="M33" s="54" t="n">
        <f aca="false">ROUND(L33*(1+$M$4),2)</f>
        <v>511.09</v>
      </c>
      <c r="N33" s="55"/>
      <c r="O33" s="56"/>
      <c r="P33" s="56" t="s">
        <v>86</v>
      </c>
      <c r="Q33" s="58" t="n">
        <v>1</v>
      </c>
      <c r="R33" s="56"/>
      <c r="S33" s="56"/>
      <c r="T33" s="56" t="s">
        <v>82</v>
      </c>
      <c r="U33" s="58" t="n">
        <v>0</v>
      </c>
      <c r="V33" s="56"/>
      <c r="W33" s="56"/>
      <c r="X33" s="56" t="s">
        <v>82</v>
      </c>
      <c r="Y33" s="58" t="n">
        <v>0</v>
      </c>
      <c r="Z33" s="56"/>
      <c r="AA33" s="56"/>
      <c r="AB33" s="56" t="s">
        <v>82</v>
      </c>
      <c r="AC33" s="58" t="n">
        <v>0</v>
      </c>
      <c r="AD33" s="56"/>
      <c r="AE33" s="56"/>
      <c r="AF33" s="56" t="s">
        <v>82</v>
      </c>
      <c r="AG33" s="58" t="n">
        <v>0</v>
      </c>
      <c r="AH33" s="56"/>
      <c r="AI33" s="56" t="s">
        <v>86</v>
      </c>
      <c r="AJ33" s="58" t="n">
        <v>1</v>
      </c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</row>
    <row r="34" customFormat="false" ht="15" hidden="false" customHeight="false" outlineLevel="0" collapsed="false">
      <c r="A34" s="49" t="s">
        <v>87</v>
      </c>
      <c r="B34" s="50" t="s">
        <v>88</v>
      </c>
      <c r="C34" s="49" t="s">
        <v>67</v>
      </c>
      <c r="D34" s="51" t="s">
        <v>68</v>
      </c>
      <c r="E34" s="52" t="s">
        <v>34</v>
      </c>
      <c r="F34" s="53" t="n">
        <v>5.15</v>
      </c>
      <c r="G34" s="54" t="n">
        <v>2.11</v>
      </c>
      <c r="H34" s="54" t="n">
        <v>1.87</v>
      </c>
      <c r="I34" s="54" t="n">
        <f aca="false">SUM(G34:H34)</f>
        <v>3.98</v>
      </c>
      <c r="J34" s="54" t="n">
        <f aca="false">G34*F34</f>
        <v>10.8665</v>
      </c>
      <c r="K34" s="54" t="n">
        <f aca="false">H34*F34</f>
        <v>9.6305</v>
      </c>
      <c r="L34" s="54" t="n">
        <f aca="false">J34+K34</f>
        <v>20.497</v>
      </c>
      <c r="M34" s="54" t="n">
        <f aca="false">ROUND(L34*(1+$M$4),2)</f>
        <v>25.83</v>
      </c>
      <c r="N34" s="55"/>
      <c r="O34" s="56"/>
      <c r="P34" s="56" t="s">
        <v>84</v>
      </c>
      <c r="Q34" s="58" t="n">
        <v>1</v>
      </c>
      <c r="R34" s="56"/>
      <c r="S34" s="56"/>
      <c r="T34" s="56" t="s">
        <v>82</v>
      </c>
      <c r="U34" s="58" t="n">
        <v>0</v>
      </c>
      <c r="V34" s="56"/>
      <c r="W34" s="56"/>
      <c r="X34" s="56" t="s">
        <v>82</v>
      </c>
      <c r="Y34" s="58" t="n">
        <v>0</v>
      </c>
      <c r="Z34" s="56"/>
      <c r="AA34" s="56"/>
      <c r="AB34" s="56" t="s">
        <v>82</v>
      </c>
      <c r="AC34" s="58" t="n">
        <v>0</v>
      </c>
      <c r="AD34" s="56"/>
      <c r="AE34" s="56"/>
      <c r="AF34" s="56" t="s">
        <v>82</v>
      </c>
      <c r="AG34" s="58" t="n">
        <v>0</v>
      </c>
      <c r="AH34" s="56"/>
      <c r="AI34" s="56" t="s">
        <v>84</v>
      </c>
      <c r="AJ34" s="58" t="n">
        <v>1</v>
      </c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</row>
    <row r="35" customFormat="false" ht="15" hidden="false" customHeight="false" outlineLevel="0" collapsed="false">
      <c r="A35" s="49" t="s">
        <v>89</v>
      </c>
      <c r="B35" s="50" t="s">
        <v>88</v>
      </c>
      <c r="C35" s="49" t="s">
        <v>75</v>
      </c>
      <c r="D35" s="51" t="s">
        <v>76</v>
      </c>
      <c r="E35" s="52" t="s">
        <v>34</v>
      </c>
      <c r="F35" s="53" t="n">
        <f aca="false">F34</f>
        <v>5.15</v>
      </c>
      <c r="G35" s="54" t="n">
        <v>18.08</v>
      </c>
      <c r="H35" s="54" t="n">
        <v>15</v>
      </c>
      <c r="I35" s="54" t="n">
        <f aca="false">SUM(G35:H35)</f>
        <v>33.08</v>
      </c>
      <c r="J35" s="54" t="n">
        <f aca="false">G35*F35</f>
        <v>93.112</v>
      </c>
      <c r="K35" s="54" t="n">
        <f aca="false">H35*F35</f>
        <v>77.25</v>
      </c>
      <c r="L35" s="54" t="n">
        <f aca="false">J35+K35</f>
        <v>170.362</v>
      </c>
      <c r="M35" s="54" t="n">
        <f aca="false">ROUND(L35*(1+$M$4),2)</f>
        <v>214.69</v>
      </c>
      <c r="N35" s="55"/>
      <c r="O35" s="56"/>
      <c r="P35" s="56" t="s">
        <v>86</v>
      </c>
      <c r="Q35" s="58" t="n">
        <v>1</v>
      </c>
      <c r="R35" s="56"/>
      <c r="S35" s="56"/>
      <c r="T35" s="56" t="s">
        <v>82</v>
      </c>
      <c r="U35" s="58" t="n">
        <v>0</v>
      </c>
      <c r="V35" s="56"/>
      <c r="W35" s="56"/>
      <c r="X35" s="56" t="s">
        <v>82</v>
      </c>
      <c r="Y35" s="58" t="n">
        <v>0</v>
      </c>
      <c r="Z35" s="56"/>
      <c r="AA35" s="56"/>
      <c r="AB35" s="56" t="s">
        <v>82</v>
      </c>
      <c r="AC35" s="58" t="n">
        <v>0</v>
      </c>
      <c r="AD35" s="56"/>
      <c r="AE35" s="56"/>
      <c r="AF35" s="56" t="s">
        <v>82</v>
      </c>
      <c r="AG35" s="58" t="n">
        <v>0</v>
      </c>
      <c r="AH35" s="56"/>
      <c r="AI35" s="56" t="s">
        <v>86</v>
      </c>
      <c r="AJ35" s="58" t="n">
        <v>1</v>
      </c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</row>
    <row r="36" customFormat="false" ht="15" hidden="false" customHeight="false" outlineLevel="0" collapsed="false">
      <c r="A36" s="49" t="s">
        <v>90</v>
      </c>
      <c r="B36" s="50" t="s">
        <v>91</v>
      </c>
      <c r="C36" s="49" t="s">
        <v>92</v>
      </c>
      <c r="D36" s="51" t="s">
        <v>93</v>
      </c>
      <c r="E36" s="52" t="s">
        <v>34</v>
      </c>
      <c r="F36" s="53" t="n">
        <f aca="false">F27+F29+F32+F34</f>
        <v>54.21</v>
      </c>
      <c r="G36" s="54" t="n">
        <v>7.57</v>
      </c>
      <c r="H36" s="54" t="n">
        <v>6.18</v>
      </c>
      <c r="I36" s="54" t="n">
        <f aca="false">SUM(G36:H36)</f>
        <v>13.75</v>
      </c>
      <c r="J36" s="54" t="n">
        <f aca="false">G36*F36</f>
        <v>410.3697</v>
      </c>
      <c r="K36" s="54" t="n">
        <f aca="false">H36*F36</f>
        <v>335.0178</v>
      </c>
      <c r="L36" s="54" t="n">
        <f aca="false">J36+K36</f>
        <v>745.3875</v>
      </c>
      <c r="M36" s="54" t="n">
        <f aca="false">ROUND(L36*(1+$M$4),2)</f>
        <v>939.34</v>
      </c>
      <c r="N36" s="55"/>
      <c r="O36" s="56"/>
      <c r="P36" s="56" t="s">
        <v>82</v>
      </c>
      <c r="Q36" s="58" t="n">
        <v>0</v>
      </c>
      <c r="R36" s="56"/>
      <c r="S36" s="56"/>
      <c r="T36" s="56" t="s">
        <v>82</v>
      </c>
      <c r="U36" s="58" t="n">
        <v>0</v>
      </c>
      <c r="V36" s="56"/>
      <c r="W36" s="56"/>
      <c r="X36" s="56" t="s">
        <v>82</v>
      </c>
      <c r="Y36" s="58" t="n">
        <v>0</v>
      </c>
      <c r="Z36" s="56"/>
      <c r="AA36" s="56"/>
      <c r="AB36" s="56" t="s">
        <v>82</v>
      </c>
      <c r="AC36" s="58" t="n">
        <v>0</v>
      </c>
      <c r="AD36" s="56"/>
      <c r="AE36" s="56"/>
      <c r="AF36" s="56" t="s">
        <v>82</v>
      </c>
      <c r="AG36" s="58" t="n">
        <v>0</v>
      </c>
      <c r="AH36" s="56"/>
      <c r="AI36" s="56" t="s">
        <v>82</v>
      </c>
      <c r="AJ36" s="58" t="n">
        <v>0</v>
      </c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</row>
    <row r="37" customFormat="false" ht="15" hidden="false" customHeight="false" outlineLevel="0" collapsed="false">
      <c r="A37" s="49" t="s">
        <v>94</v>
      </c>
      <c r="B37" s="50" t="s">
        <v>95</v>
      </c>
      <c r="C37" s="49" t="s">
        <v>96</v>
      </c>
      <c r="D37" s="51" t="s">
        <v>97</v>
      </c>
      <c r="E37" s="52" t="s">
        <v>98</v>
      </c>
      <c r="F37" s="53" t="n">
        <f aca="false">1.55+2+1.2+2.4</f>
        <v>7.15</v>
      </c>
      <c r="G37" s="54" t="n">
        <v>81.63</v>
      </c>
      <c r="H37" s="54" t="n">
        <v>20.78</v>
      </c>
      <c r="I37" s="54" t="n">
        <f aca="false">G37+H37</f>
        <v>102.41</v>
      </c>
      <c r="J37" s="54" t="n">
        <f aca="false">G37*F37</f>
        <v>583.6545</v>
      </c>
      <c r="K37" s="54" t="n">
        <f aca="false">H37*F37</f>
        <v>148.577</v>
      </c>
      <c r="L37" s="54" t="n">
        <f aca="false">J37+K37</f>
        <v>732.2315</v>
      </c>
      <c r="M37" s="54" t="n">
        <f aca="false">ROUND(L37*(1+$M$4),2)</f>
        <v>922.76</v>
      </c>
      <c r="N37" s="55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</row>
    <row r="38" customFormat="false" ht="15.75" hidden="false" customHeight="true" outlineLevel="0" collapsed="false">
      <c r="A38" s="45"/>
      <c r="B38" s="50"/>
      <c r="C38" s="45"/>
      <c r="D38" s="51"/>
      <c r="E38" s="60"/>
      <c r="F38" s="61"/>
      <c r="G38" s="62"/>
      <c r="H38" s="62"/>
      <c r="I38" s="62"/>
      <c r="J38" s="62"/>
      <c r="K38" s="62"/>
      <c r="L38" s="62"/>
      <c r="M38" s="62"/>
      <c r="N38" s="42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</row>
    <row r="39" customFormat="false" ht="15" hidden="false" customHeight="true" outlineLevel="0" collapsed="false">
      <c r="A39" s="28" t="s">
        <v>99</v>
      </c>
      <c r="B39" s="29" t="s">
        <v>100</v>
      </c>
      <c r="C39" s="29"/>
      <c r="D39" s="30"/>
      <c r="E39" s="31"/>
      <c r="F39" s="32"/>
      <c r="G39" s="33"/>
      <c r="H39" s="33"/>
      <c r="I39" s="33"/>
      <c r="J39" s="33" t="n">
        <f aca="false">SUM(J40:J43)</f>
        <v>3180.90922</v>
      </c>
      <c r="K39" s="33" t="n">
        <f aca="false">SUM(K40:K43)</f>
        <v>628.96335</v>
      </c>
      <c r="L39" s="33" t="n">
        <f aca="false">SUM(L40:L43)</f>
        <v>3809.87257</v>
      </c>
      <c r="M39" s="33" t="n">
        <f aca="false">SUM(M40:M43)</f>
        <v>4801.19</v>
      </c>
      <c r="N39" s="46" t="n">
        <f aca="false">M39</f>
        <v>4801.19</v>
      </c>
      <c r="O39" s="47" t="n">
        <f aca="false">M39</f>
        <v>4801.19</v>
      </c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</row>
    <row r="40" customFormat="false" ht="15" hidden="false" customHeight="false" outlineLevel="0" collapsed="false">
      <c r="A40" s="45" t="s">
        <v>101</v>
      </c>
      <c r="B40" s="50" t="s">
        <v>102</v>
      </c>
      <c r="C40" s="45" t="s">
        <v>103</v>
      </c>
      <c r="D40" s="51" t="s">
        <v>104</v>
      </c>
      <c r="E40" s="60" t="s">
        <v>34</v>
      </c>
      <c r="F40" s="61" t="n">
        <v>15</v>
      </c>
      <c r="G40" s="62" t="n">
        <f aca="false">COMPOSIÇÕES!H25</f>
        <v>118.017948</v>
      </c>
      <c r="H40" s="62" t="n">
        <f aca="false">COMPOSIÇÕES!I25</f>
        <v>14.56489</v>
      </c>
      <c r="I40" s="62" t="n">
        <f aca="false">G40+H40</f>
        <v>132.582838</v>
      </c>
      <c r="J40" s="62" t="n">
        <f aca="false">G40*F40</f>
        <v>1770.26922</v>
      </c>
      <c r="K40" s="62" t="n">
        <f aca="false">H40*F40</f>
        <v>218.47335</v>
      </c>
      <c r="L40" s="62" t="n">
        <f aca="false">J40+K40</f>
        <v>1988.74257</v>
      </c>
      <c r="M40" s="62" t="n">
        <f aca="false">ROUND(L40*(1+$M$4),2)</f>
        <v>2506.21</v>
      </c>
      <c r="N40" s="42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</row>
    <row r="41" customFormat="false" ht="15" hidden="false" customHeight="false" outlineLevel="0" collapsed="false">
      <c r="A41" s="45" t="s">
        <v>105</v>
      </c>
      <c r="B41" s="50" t="s">
        <v>106</v>
      </c>
      <c r="C41" s="45" t="s">
        <v>92</v>
      </c>
      <c r="D41" s="51" t="s">
        <v>107</v>
      </c>
      <c r="E41" s="60" t="s">
        <v>34</v>
      </c>
      <c r="F41" s="61" t="n">
        <f aca="false">F40*2</f>
        <v>30</v>
      </c>
      <c r="G41" s="62" t="n">
        <v>7.57</v>
      </c>
      <c r="H41" s="62" t="n">
        <v>6.18</v>
      </c>
      <c r="I41" s="62" t="n">
        <f aca="false">G41+H41</f>
        <v>13.75</v>
      </c>
      <c r="J41" s="62" t="n">
        <f aca="false">G41*F41</f>
        <v>227.1</v>
      </c>
      <c r="K41" s="62" t="n">
        <f aca="false">H41*F41</f>
        <v>185.4</v>
      </c>
      <c r="L41" s="62" t="n">
        <f aca="false">J41+K41</f>
        <v>412.5</v>
      </c>
      <c r="M41" s="62" t="n">
        <f aca="false">ROUND(L41*(1+$M$4),2)</f>
        <v>519.83</v>
      </c>
      <c r="N41" s="42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</row>
    <row r="42" customFormat="false" ht="15" hidden="false" customHeight="false" outlineLevel="0" collapsed="false">
      <c r="A42" s="45" t="s">
        <v>108</v>
      </c>
      <c r="B42" s="50" t="s">
        <v>109</v>
      </c>
      <c r="C42" s="45" t="s">
        <v>110</v>
      </c>
      <c r="D42" s="51" t="s">
        <v>111</v>
      </c>
      <c r="E42" s="60" t="s">
        <v>34</v>
      </c>
      <c r="F42" s="61" t="n">
        <v>16</v>
      </c>
      <c r="G42" s="62" t="n">
        <v>63.92</v>
      </c>
      <c r="H42" s="62" t="n">
        <v>11.04</v>
      </c>
      <c r="I42" s="62" t="n">
        <f aca="false">G42+H42</f>
        <v>74.96</v>
      </c>
      <c r="J42" s="62" t="n">
        <f aca="false">G42*F42</f>
        <v>1022.72</v>
      </c>
      <c r="K42" s="62" t="n">
        <f aca="false">H42*F42</f>
        <v>176.64</v>
      </c>
      <c r="L42" s="62" t="n">
        <f aca="false">J42+K42</f>
        <v>1199.36</v>
      </c>
      <c r="M42" s="62" t="n">
        <f aca="false">ROUND(L42*(1+$M$4),2)</f>
        <v>1511.43</v>
      </c>
      <c r="N42" s="42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</row>
    <row r="43" customFormat="false" ht="15" hidden="false" customHeight="false" outlineLevel="0" collapsed="false">
      <c r="A43" s="45" t="s">
        <v>112</v>
      </c>
      <c r="B43" s="50" t="s">
        <v>113</v>
      </c>
      <c r="C43" s="45" t="s">
        <v>114</v>
      </c>
      <c r="D43" s="51" t="s">
        <v>115</v>
      </c>
      <c r="E43" s="60" t="s">
        <v>98</v>
      </c>
      <c r="F43" s="61" t="n">
        <v>17</v>
      </c>
      <c r="G43" s="62" t="n">
        <v>9.46</v>
      </c>
      <c r="H43" s="62" t="n">
        <v>2.85</v>
      </c>
      <c r="I43" s="62" t="n">
        <f aca="false">G43+H43</f>
        <v>12.31</v>
      </c>
      <c r="J43" s="62" t="n">
        <f aca="false">G43*F43</f>
        <v>160.82</v>
      </c>
      <c r="K43" s="62" t="n">
        <f aca="false">H43*F43</f>
        <v>48.45</v>
      </c>
      <c r="L43" s="62" t="n">
        <f aca="false">J43+K43</f>
        <v>209.27</v>
      </c>
      <c r="M43" s="62" t="n">
        <f aca="false">ROUND(L43*(1+$M$4),2)</f>
        <v>263.72</v>
      </c>
      <c r="N43" s="42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</row>
    <row r="44" customFormat="false" ht="15.75" hidden="false" customHeight="true" outlineLevel="0" collapsed="false">
      <c r="A44" s="63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5"/>
      <c r="N44" s="2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customFormat="false" ht="15" hidden="false" customHeight="true" outlineLevel="0" collapsed="false">
      <c r="A45" s="28" t="s">
        <v>116</v>
      </c>
      <c r="B45" s="29" t="s">
        <v>117</v>
      </c>
      <c r="C45" s="29"/>
      <c r="D45" s="30"/>
      <c r="E45" s="31"/>
      <c r="F45" s="32"/>
      <c r="G45" s="33"/>
      <c r="H45" s="33"/>
      <c r="I45" s="33"/>
      <c r="J45" s="33" t="n">
        <f aca="false">SUM(J46:J50)</f>
        <v>3554.353812</v>
      </c>
      <c r="K45" s="33" t="n">
        <f aca="false">SUM(K46:K50)</f>
        <v>1280.155088</v>
      </c>
      <c r="L45" s="33" t="n">
        <f aca="false">SUM(L46:L50)</f>
        <v>4834.5089</v>
      </c>
      <c r="M45" s="33" t="n">
        <f aca="false">SUM(M46:M50)</f>
        <v>6092.44</v>
      </c>
      <c r="N45" s="34" t="n">
        <f aca="false">M45</f>
        <v>6092.44</v>
      </c>
      <c r="O45" s="34" t="n">
        <f aca="false">M45</f>
        <v>6092.44</v>
      </c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</row>
    <row r="46" customFormat="false" ht="15" hidden="false" customHeight="false" outlineLevel="0" collapsed="false">
      <c r="A46" s="45" t="s">
        <v>118</v>
      </c>
      <c r="B46" s="50" t="s">
        <v>119</v>
      </c>
      <c r="C46" s="45" t="s">
        <v>120</v>
      </c>
      <c r="D46" s="51" t="s">
        <v>121</v>
      </c>
      <c r="E46" s="60" t="s">
        <v>34</v>
      </c>
      <c r="F46" s="61" t="n">
        <v>15.5</v>
      </c>
      <c r="G46" s="62" t="n">
        <v>39.81</v>
      </c>
      <c r="H46" s="62" t="n">
        <v>7.24</v>
      </c>
      <c r="I46" s="62" t="n">
        <f aca="false">G46+H46</f>
        <v>47.05</v>
      </c>
      <c r="J46" s="62" t="n">
        <f aca="false">G46*F46</f>
        <v>617.055</v>
      </c>
      <c r="K46" s="62" t="n">
        <f aca="false">H46*F46</f>
        <v>112.22</v>
      </c>
      <c r="L46" s="62" t="n">
        <f aca="false">J46+K46</f>
        <v>729.275</v>
      </c>
      <c r="M46" s="62" t="n">
        <f aca="false">ROUND(L46*(1+$M$4),2)</f>
        <v>919.03</v>
      </c>
      <c r="N46" s="42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</row>
    <row r="47" customFormat="false" ht="15" hidden="false" customHeight="false" outlineLevel="0" collapsed="false">
      <c r="A47" s="45" t="s">
        <v>122</v>
      </c>
      <c r="B47" s="50" t="s">
        <v>123</v>
      </c>
      <c r="C47" s="45" t="s">
        <v>124</v>
      </c>
      <c r="D47" s="51" t="s">
        <v>125</v>
      </c>
      <c r="E47" s="60" t="s">
        <v>98</v>
      </c>
      <c r="F47" s="61" t="n">
        <v>1</v>
      </c>
      <c r="G47" s="62" t="n">
        <v>106.16</v>
      </c>
      <c r="H47" s="62" t="n">
        <v>17.03</v>
      </c>
      <c r="I47" s="62" t="n">
        <f aca="false">G47+H47</f>
        <v>123.19</v>
      </c>
      <c r="J47" s="62" t="n">
        <f aca="false">G47*F47</f>
        <v>106.16</v>
      </c>
      <c r="K47" s="62" t="n">
        <f aca="false">H47*F47</f>
        <v>17.03</v>
      </c>
      <c r="L47" s="62" t="n">
        <f aca="false">J47+K47</f>
        <v>123.19</v>
      </c>
      <c r="M47" s="62" t="n">
        <f aca="false">ROUND(L47*(1+$M$4),2)</f>
        <v>155.24</v>
      </c>
      <c r="N47" s="42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</row>
    <row r="48" customFormat="false" ht="15" hidden="false" customHeight="false" outlineLevel="0" collapsed="false">
      <c r="A48" s="45" t="s">
        <v>126</v>
      </c>
      <c r="B48" s="50" t="s">
        <v>127</v>
      </c>
      <c r="C48" s="45" t="s">
        <v>128</v>
      </c>
      <c r="D48" s="51" t="s">
        <v>129</v>
      </c>
      <c r="E48" s="60" t="s">
        <v>34</v>
      </c>
      <c r="F48" s="61" t="n">
        <v>36.2</v>
      </c>
      <c r="G48" s="62" t="n">
        <v>49.24</v>
      </c>
      <c r="H48" s="62" t="n">
        <v>23.38</v>
      </c>
      <c r="I48" s="62" t="n">
        <f aca="false">G48+H48</f>
        <v>72.62</v>
      </c>
      <c r="J48" s="62" t="n">
        <f aca="false">G48*F48</f>
        <v>1782.488</v>
      </c>
      <c r="K48" s="62" t="n">
        <f aca="false">H48*F48</f>
        <v>846.356</v>
      </c>
      <c r="L48" s="62" t="n">
        <f aca="false">J48+K48</f>
        <v>2628.844</v>
      </c>
      <c r="M48" s="62" t="n">
        <f aca="false">ROUND(L48*(1+$M$4),2)</f>
        <v>3312.87</v>
      </c>
      <c r="N48" s="42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</row>
    <row r="49" customFormat="false" ht="15" hidden="false" customHeight="false" outlineLevel="0" collapsed="false">
      <c r="A49" s="45" t="s">
        <v>130</v>
      </c>
      <c r="B49" s="50" t="s">
        <v>131</v>
      </c>
      <c r="C49" s="45" t="s">
        <v>132</v>
      </c>
      <c r="D49" s="51" t="s">
        <v>133</v>
      </c>
      <c r="E49" s="60" t="s">
        <v>34</v>
      </c>
      <c r="F49" s="61" t="n">
        <v>3.6</v>
      </c>
      <c r="G49" s="62" t="n">
        <f aca="false">COMPOSIÇÕES!H33</f>
        <v>164.48967</v>
      </c>
      <c r="H49" s="62" t="n">
        <f aca="false">COMPOSIÇÕES!I33</f>
        <v>64.25558</v>
      </c>
      <c r="I49" s="62" t="n">
        <f aca="false">G49+H49</f>
        <v>228.74525</v>
      </c>
      <c r="J49" s="62" t="n">
        <f aca="false">G49*F49</f>
        <v>592.162812</v>
      </c>
      <c r="K49" s="62" t="n">
        <f aca="false">H49*F49</f>
        <v>231.320088</v>
      </c>
      <c r="L49" s="62" t="n">
        <f aca="false">J49+K49</f>
        <v>823.4829</v>
      </c>
      <c r="M49" s="62" t="n">
        <f aca="false">ROUND(L49*(1+$M$4),2)</f>
        <v>1037.75</v>
      </c>
      <c r="N49" s="42"/>
      <c r="O49" s="66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</row>
    <row r="50" customFormat="false" ht="15" hidden="false" customHeight="false" outlineLevel="0" collapsed="false">
      <c r="A50" s="45" t="s">
        <v>134</v>
      </c>
      <c r="B50" s="50" t="s">
        <v>135</v>
      </c>
      <c r="C50" s="45" t="s">
        <v>124</v>
      </c>
      <c r="D50" s="51" t="s">
        <v>125</v>
      </c>
      <c r="E50" s="60" t="s">
        <v>98</v>
      </c>
      <c r="F50" s="61" t="n">
        <v>4.3</v>
      </c>
      <c r="G50" s="62" t="n">
        <v>106.16</v>
      </c>
      <c r="H50" s="62" t="n">
        <v>17.03</v>
      </c>
      <c r="I50" s="62" t="n">
        <f aca="false">G50+H50</f>
        <v>123.19</v>
      </c>
      <c r="J50" s="62" t="n">
        <f aca="false">G50*F50</f>
        <v>456.488</v>
      </c>
      <c r="K50" s="62" t="n">
        <f aca="false">H50*F50</f>
        <v>73.229</v>
      </c>
      <c r="L50" s="62" t="n">
        <f aca="false">J50+K50</f>
        <v>529.717</v>
      </c>
      <c r="M50" s="62" t="n">
        <f aca="false">ROUND(L50*(1+$M$4),2)</f>
        <v>667.55</v>
      </c>
      <c r="N50" s="42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</row>
    <row r="51" customFormat="false" ht="15.75" hidden="false" customHeight="true" outlineLevel="0" collapsed="false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customFormat="false" ht="15" hidden="false" customHeight="true" outlineLevel="0" collapsed="false">
      <c r="A52" s="28" t="s">
        <v>136</v>
      </c>
      <c r="B52" s="29" t="s">
        <v>137</v>
      </c>
      <c r="C52" s="29"/>
      <c r="D52" s="30"/>
      <c r="E52" s="31"/>
      <c r="F52" s="32"/>
      <c r="G52" s="33"/>
      <c r="H52" s="33"/>
      <c r="I52" s="33"/>
      <c r="J52" s="33" t="n">
        <f aca="false">SUM(J53:J59)</f>
        <v>5998.6524</v>
      </c>
      <c r="K52" s="33" t="n">
        <f aca="false">SUM(K53:K59)</f>
        <v>422.0832</v>
      </c>
      <c r="L52" s="33" t="n">
        <f aca="false">SUM(L53:L59)</f>
        <v>6420.7356</v>
      </c>
      <c r="M52" s="33" t="n">
        <f aca="false">SUM(M53:M59)</f>
        <v>8091.4</v>
      </c>
      <c r="N52" s="34" t="n">
        <f aca="false">M52</f>
        <v>8091.4</v>
      </c>
      <c r="O52" s="34" t="n">
        <f aca="false">M52</f>
        <v>8091.4</v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</row>
    <row r="53" customFormat="false" ht="15" hidden="false" customHeight="false" outlineLevel="0" collapsed="false">
      <c r="A53" s="45" t="s">
        <v>138</v>
      </c>
      <c r="B53" s="50" t="s">
        <v>139</v>
      </c>
      <c r="C53" s="45" t="s">
        <v>140</v>
      </c>
      <c r="D53" s="51" t="s">
        <v>141</v>
      </c>
      <c r="E53" s="60" t="s">
        <v>34</v>
      </c>
      <c r="F53" s="61" t="n">
        <v>1.2</v>
      </c>
      <c r="G53" s="62" t="n">
        <v>328.32</v>
      </c>
      <c r="H53" s="62" t="n">
        <v>14.74</v>
      </c>
      <c r="I53" s="62" t="n">
        <f aca="false">G53+H53</f>
        <v>343.06</v>
      </c>
      <c r="J53" s="62" t="n">
        <f aca="false">G53*F53</f>
        <v>393.984</v>
      </c>
      <c r="K53" s="62" t="n">
        <f aca="false">H53*F53</f>
        <v>17.688</v>
      </c>
      <c r="L53" s="62" t="n">
        <f aca="false">J53+K53</f>
        <v>411.672</v>
      </c>
      <c r="M53" s="62" t="n">
        <f aca="false">ROUND(L53*(1+$M$4),2)</f>
        <v>518.79</v>
      </c>
      <c r="N53" s="42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</row>
    <row r="54" customFormat="false" ht="15" hidden="false" customHeight="false" outlineLevel="0" collapsed="false">
      <c r="A54" s="45" t="s">
        <v>142</v>
      </c>
      <c r="B54" s="50" t="s">
        <v>143</v>
      </c>
      <c r="C54" s="45" t="s">
        <v>144</v>
      </c>
      <c r="D54" s="51" t="s">
        <v>145</v>
      </c>
      <c r="E54" s="60" t="s">
        <v>34</v>
      </c>
      <c r="F54" s="61" t="n">
        <f aca="false">0.6*0.6</f>
        <v>0.36</v>
      </c>
      <c r="G54" s="62" t="n">
        <v>615.24</v>
      </c>
      <c r="H54" s="62" t="n">
        <v>48.53</v>
      </c>
      <c r="I54" s="62" t="n">
        <f aca="false">G54+H54</f>
        <v>663.77</v>
      </c>
      <c r="J54" s="62" t="n">
        <f aca="false">G54*F54</f>
        <v>221.4864</v>
      </c>
      <c r="K54" s="62" t="n">
        <f aca="false">H54*F54</f>
        <v>17.4708</v>
      </c>
      <c r="L54" s="62" t="n">
        <f aca="false">J54+K54</f>
        <v>238.9572</v>
      </c>
      <c r="M54" s="62" t="n">
        <f aca="false">ROUND(L54*(1+$M$4),2)</f>
        <v>301.13</v>
      </c>
      <c r="N54" s="42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</row>
    <row r="55" customFormat="false" ht="15" hidden="false" customHeight="false" outlineLevel="0" collapsed="false">
      <c r="A55" s="45" t="s">
        <v>146</v>
      </c>
      <c r="B55" s="50" t="s">
        <v>147</v>
      </c>
      <c r="C55" s="45" t="s">
        <v>148</v>
      </c>
      <c r="D55" s="51" t="s">
        <v>149</v>
      </c>
      <c r="E55" s="60" t="s">
        <v>150</v>
      </c>
      <c r="F55" s="61" t="n">
        <f aca="false">0.8*1.4</f>
        <v>1.12</v>
      </c>
      <c r="G55" s="62" t="n">
        <v>693.7</v>
      </c>
      <c r="H55" s="62" t="n">
        <v>20.47</v>
      </c>
      <c r="I55" s="62" t="n">
        <f aca="false">G55+H55</f>
        <v>714.17</v>
      </c>
      <c r="J55" s="62" t="n">
        <f aca="false">G55*F55</f>
        <v>776.944</v>
      </c>
      <c r="K55" s="62" t="n">
        <f aca="false">H55*F55</f>
        <v>22.9264</v>
      </c>
      <c r="L55" s="62" t="n">
        <f aca="false">J55+K55</f>
        <v>799.8704</v>
      </c>
      <c r="M55" s="62" t="n">
        <f aca="false">ROUND(L55*(1+$M$4),2)</f>
        <v>1008</v>
      </c>
      <c r="N55" s="42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</row>
    <row r="56" customFormat="false" ht="15" hidden="false" customHeight="false" outlineLevel="0" collapsed="false">
      <c r="A56" s="45" t="s">
        <v>151</v>
      </c>
      <c r="B56" s="50" t="s">
        <v>152</v>
      </c>
      <c r="C56" s="45" t="s">
        <v>153</v>
      </c>
      <c r="D56" s="51" t="s">
        <v>154</v>
      </c>
      <c r="E56" s="60" t="s">
        <v>98</v>
      </c>
      <c r="F56" s="61" t="n">
        <f aca="false">(3.2*3)+(0.8+1.6+2.8)</f>
        <v>14.8</v>
      </c>
      <c r="G56" s="62" t="n">
        <v>11.44</v>
      </c>
      <c r="H56" s="62" t="n">
        <v>10.15</v>
      </c>
      <c r="I56" s="62" t="n">
        <f aca="false">G56+H56</f>
        <v>21.59</v>
      </c>
      <c r="J56" s="62" t="n">
        <f aca="false">G56*F56</f>
        <v>169.312</v>
      </c>
      <c r="K56" s="62" t="n">
        <f aca="false">H56*F56</f>
        <v>150.22</v>
      </c>
      <c r="L56" s="62" t="n">
        <f aca="false">J56+K56</f>
        <v>319.532</v>
      </c>
      <c r="M56" s="62" t="n">
        <f aca="false">ROUND(L56*(1+$M$4),2)</f>
        <v>402.67</v>
      </c>
      <c r="N56" s="42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</row>
    <row r="57" customFormat="false" ht="15" hidden="false" customHeight="false" outlineLevel="0" collapsed="false">
      <c r="A57" s="45" t="s">
        <v>155</v>
      </c>
      <c r="B57" s="50" t="s">
        <v>156</v>
      </c>
      <c r="C57" s="45" t="s">
        <v>157</v>
      </c>
      <c r="D57" s="51" t="s">
        <v>158</v>
      </c>
      <c r="E57" s="60" t="s">
        <v>159</v>
      </c>
      <c r="F57" s="61" t="n">
        <v>2</v>
      </c>
      <c r="G57" s="62" t="n">
        <v>633.05</v>
      </c>
      <c r="H57" s="62" t="n">
        <v>69.32</v>
      </c>
      <c r="I57" s="62" t="n">
        <f aca="false">G57+H57</f>
        <v>702.37</v>
      </c>
      <c r="J57" s="62" t="n">
        <f aca="false">G57*F57</f>
        <v>1266.1</v>
      </c>
      <c r="K57" s="62" t="n">
        <f aca="false">H57*F57</f>
        <v>138.64</v>
      </c>
      <c r="L57" s="62" t="n">
        <f aca="false">J57+K57</f>
        <v>1404.74</v>
      </c>
      <c r="M57" s="62" t="n">
        <f aca="false">ROUND(L57*(1+$M$4),2)</f>
        <v>1770.25</v>
      </c>
      <c r="N57" s="42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</row>
    <row r="58" customFormat="false" ht="15" hidden="false" customHeight="false" outlineLevel="0" collapsed="false">
      <c r="A58" s="45" t="s">
        <v>160</v>
      </c>
      <c r="B58" s="50" t="s">
        <v>161</v>
      </c>
      <c r="C58" s="49" t="s">
        <v>162</v>
      </c>
      <c r="D58" s="51" t="s">
        <v>163</v>
      </c>
      <c r="E58" s="60" t="s">
        <v>34</v>
      </c>
      <c r="F58" s="61" t="n">
        <f aca="false">2*2.1</f>
        <v>4.2</v>
      </c>
      <c r="G58" s="62" t="n">
        <v>689.23</v>
      </c>
      <c r="H58" s="62" t="n">
        <v>7.99</v>
      </c>
      <c r="I58" s="62" t="n">
        <f aca="false">G58+H58</f>
        <v>697.22</v>
      </c>
      <c r="J58" s="62" t="n">
        <f aca="false">G58*F58</f>
        <v>2894.766</v>
      </c>
      <c r="K58" s="62" t="n">
        <f aca="false">H58*F58</f>
        <v>33.558</v>
      </c>
      <c r="L58" s="62" t="n">
        <f aca="false">J58+K58</f>
        <v>2928.324</v>
      </c>
      <c r="M58" s="62" t="n">
        <f aca="false">ROUND(L58*(1+$M$4),2)</f>
        <v>3690.27</v>
      </c>
      <c r="N58" s="42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</row>
    <row r="59" customFormat="false" ht="15" hidden="false" customHeight="false" outlineLevel="0" collapsed="false">
      <c r="A59" s="45" t="s">
        <v>164</v>
      </c>
      <c r="B59" s="50" t="s">
        <v>165</v>
      </c>
      <c r="C59" s="45" t="s">
        <v>166</v>
      </c>
      <c r="D59" s="51" t="s">
        <v>167</v>
      </c>
      <c r="E59" s="60" t="s">
        <v>159</v>
      </c>
      <c r="F59" s="61" t="n">
        <v>2</v>
      </c>
      <c r="G59" s="62" t="n">
        <v>138.03</v>
      </c>
      <c r="H59" s="62" t="n">
        <v>20.79</v>
      </c>
      <c r="I59" s="62" t="n">
        <f aca="false">G59+H59</f>
        <v>158.82</v>
      </c>
      <c r="J59" s="62" t="n">
        <f aca="false">G59*F59</f>
        <v>276.06</v>
      </c>
      <c r="K59" s="62" t="n">
        <f aca="false">H59*F59</f>
        <v>41.58</v>
      </c>
      <c r="L59" s="62" t="n">
        <f aca="false">J59+K59</f>
        <v>317.64</v>
      </c>
      <c r="M59" s="62" t="n">
        <f aca="false">ROUND(L59*(1+$M$4),2)</f>
        <v>400.29</v>
      </c>
      <c r="N59" s="42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</row>
    <row r="60" customFormat="false" ht="15.75" hidden="false" customHeight="true" outlineLevel="0" collapsed="false">
      <c r="A60" s="67"/>
      <c r="B60" s="68"/>
      <c r="C60" s="67"/>
      <c r="D60" s="69"/>
      <c r="E60" s="70"/>
      <c r="F60" s="71"/>
      <c r="G60" s="71"/>
      <c r="H60" s="71"/>
      <c r="I60" s="71"/>
      <c r="J60" s="71"/>
      <c r="K60" s="71"/>
      <c r="L60" s="71"/>
      <c r="M60" s="71"/>
      <c r="N60" s="2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customFormat="false" ht="15" hidden="false" customHeight="true" outlineLevel="0" collapsed="false">
      <c r="A61" s="28" t="s">
        <v>168</v>
      </c>
      <c r="B61" s="29" t="s">
        <v>169</v>
      </c>
      <c r="C61" s="29"/>
      <c r="D61" s="72"/>
      <c r="E61" s="73"/>
      <c r="F61" s="74"/>
      <c r="G61" s="33"/>
      <c r="H61" s="33"/>
      <c r="I61" s="33"/>
      <c r="J61" s="33" t="n">
        <f aca="false">SUM(J62:J69)</f>
        <v>7442.2374</v>
      </c>
      <c r="K61" s="33" t="n">
        <f aca="false">SUM(K62:K69)</f>
        <v>3782.2442</v>
      </c>
      <c r="L61" s="33" t="n">
        <f aca="false">SUM(L62:L69)</f>
        <v>11224.4816</v>
      </c>
      <c r="M61" s="33" t="n">
        <f aca="false">SUM(M62:M69)</f>
        <v>14145.08</v>
      </c>
      <c r="N61" s="75" t="n">
        <f aca="false">M61</f>
        <v>14145.08</v>
      </c>
      <c r="O61" s="75" t="n">
        <f aca="false">M61</f>
        <v>14145.08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customFormat="false" ht="15" hidden="false" customHeight="false" outlineLevel="0" collapsed="false">
      <c r="A62" s="49" t="s">
        <v>170</v>
      </c>
      <c r="B62" s="50" t="s">
        <v>171</v>
      </c>
      <c r="C62" s="49" t="s">
        <v>172</v>
      </c>
      <c r="D62" s="51" t="s">
        <v>173</v>
      </c>
      <c r="E62" s="52" t="s">
        <v>150</v>
      </c>
      <c r="F62" s="53" t="n">
        <f aca="false">SUM(F64:F65)</f>
        <v>540.35</v>
      </c>
      <c r="G62" s="54" t="s">
        <v>174</v>
      </c>
      <c r="H62" s="54" t="s">
        <v>175</v>
      </c>
      <c r="I62" s="54" t="s">
        <v>176</v>
      </c>
      <c r="J62" s="54" t="s">
        <v>177</v>
      </c>
      <c r="K62" s="54" t="s">
        <v>178</v>
      </c>
      <c r="L62" s="54" t="s">
        <v>179</v>
      </c>
      <c r="M62" s="54" t="s">
        <v>180</v>
      </c>
      <c r="N62" s="76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</row>
    <row r="63" customFormat="false" ht="15" hidden="false" customHeight="false" outlineLevel="0" collapsed="false">
      <c r="A63" s="49" t="s">
        <v>181</v>
      </c>
      <c r="B63" s="50" t="s">
        <v>182</v>
      </c>
      <c r="C63" s="49" t="s">
        <v>183</v>
      </c>
      <c r="D63" s="51" t="s">
        <v>184</v>
      </c>
      <c r="E63" s="52" t="s">
        <v>34</v>
      </c>
      <c r="F63" s="53" t="n">
        <f aca="false">SUM(F64:F66)</f>
        <v>547.85</v>
      </c>
      <c r="G63" s="54" t="n">
        <v>2.1</v>
      </c>
      <c r="H63" s="54" t="n">
        <v>1.17</v>
      </c>
      <c r="I63" s="54" t="n">
        <f aca="false">G63+H63</f>
        <v>3.27</v>
      </c>
      <c r="J63" s="54" t="n">
        <f aca="false">G63*F63</f>
        <v>1150.485</v>
      </c>
      <c r="K63" s="54" t="n">
        <f aca="false">H63*F63</f>
        <v>640.9845</v>
      </c>
      <c r="L63" s="54" t="n">
        <f aca="false">J63+K63</f>
        <v>1791.4695</v>
      </c>
      <c r="M63" s="54" t="n">
        <f aca="false">ROUND(L63*(1+$M$4),2)</f>
        <v>2257.61</v>
      </c>
      <c r="N63" s="55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</row>
    <row r="64" customFormat="false" ht="15" hidden="false" customHeight="false" outlineLevel="0" collapsed="false">
      <c r="A64" s="49" t="s">
        <v>185</v>
      </c>
      <c r="B64" s="50" t="s">
        <v>186</v>
      </c>
      <c r="C64" s="49" t="s">
        <v>187</v>
      </c>
      <c r="D64" s="51" t="s">
        <v>188</v>
      </c>
      <c r="E64" s="52" t="s">
        <v>34</v>
      </c>
      <c r="F64" s="53" t="n">
        <v>328.15</v>
      </c>
      <c r="G64" s="54" t="n">
        <v>10.56</v>
      </c>
      <c r="H64" s="54" t="n">
        <v>4.93</v>
      </c>
      <c r="I64" s="54" t="n">
        <f aca="false">G64+H64</f>
        <v>15.49</v>
      </c>
      <c r="J64" s="54" t="n">
        <f aca="false">G64*F64</f>
        <v>3465.264</v>
      </c>
      <c r="K64" s="54" t="n">
        <f aca="false">H64*F64</f>
        <v>1617.7795</v>
      </c>
      <c r="L64" s="54" t="n">
        <f aca="false">J64+K64</f>
        <v>5083.0435</v>
      </c>
      <c r="M64" s="54" t="n">
        <f aca="false">ROUND(L64*(1+$M$4),2)</f>
        <v>6405.65</v>
      </c>
      <c r="N64" s="55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</row>
    <row r="65" customFormat="false" ht="15" hidden="false" customHeight="false" outlineLevel="0" collapsed="false">
      <c r="A65" s="49" t="s">
        <v>189</v>
      </c>
      <c r="B65" s="50" t="s">
        <v>190</v>
      </c>
      <c r="C65" s="49" t="s">
        <v>187</v>
      </c>
      <c r="D65" s="51" t="s">
        <v>188</v>
      </c>
      <c r="E65" s="52" t="s">
        <v>34</v>
      </c>
      <c r="F65" s="53" t="n">
        <v>212.2</v>
      </c>
      <c r="G65" s="54" t="n">
        <v>10.56</v>
      </c>
      <c r="H65" s="54" t="n">
        <v>4.93</v>
      </c>
      <c r="I65" s="54" t="n">
        <f aca="false">G65+H65</f>
        <v>15.49</v>
      </c>
      <c r="J65" s="54" t="n">
        <f aca="false">G65*F65</f>
        <v>2240.832</v>
      </c>
      <c r="K65" s="54" t="n">
        <f aca="false">H65*F65</f>
        <v>1046.146</v>
      </c>
      <c r="L65" s="54" t="n">
        <f aca="false">J65+K65</f>
        <v>3286.978</v>
      </c>
      <c r="M65" s="54" t="n">
        <f aca="false">ROUND(L65*(1+$M$4),2)</f>
        <v>4142.25</v>
      </c>
      <c r="N65" s="55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</row>
    <row r="66" customFormat="false" ht="15" hidden="false" customHeight="false" outlineLevel="0" collapsed="false">
      <c r="A66" s="49" t="s">
        <v>191</v>
      </c>
      <c r="B66" s="50" t="s">
        <v>192</v>
      </c>
      <c r="C66" s="49" t="s">
        <v>187</v>
      </c>
      <c r="D66" s="51" t="s">
        <v>188</v>
      </c>
      <c r="E66" s="52" t="s">
        <v>34</v>
      </c>
      <c r="F66" s="53" t="n">
        <f aca="false">(1.5*2.5)*2</f>
        <v>7.5</v>
      </c>
      <c r="G66" s="54" t="n">
        <v>10.56</v>
      </c>
      <c r="H66" s="54" t="n">
        <v>4.93</v>
      </c>
      <c r="I66" s="54" t="n">
        <f aca="false">G66+H66</f>
        <v>15.49</v>
      </c>
      <c r="J66" s="54" t="n">
        <f aca="false">G66*F66</f>
        <v>79.2</v>
      </c>
      <c r="K66" s="54" t="n">
        <f aca="false">H66*F66</f>
        <v>36.975</v>
      </c>
      <c r="L66" s="54" t="n">
        <f aca="false">J66+K66</f>
        <v>116.175</v>
      </c>
      <c r="M66" s="54" t="n">
        <f aca="false">ROUND(L66*(1+$M$4),2)</f>
        <v>146.4</v>
      </c>
      <c r="N66" s="55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</row>
    <row r="67" customFormat="false" ht="15" hidden="false" customHeight="false" outlineLevel="0" collapsed="false">
      <c r="A67" s="49" t="s">
        <v>193</v>
      </c>
      <c r="B67" s="50" t="s">
        <v>194</v>
      </c>
      <c r="C67" s="49" t="s">
        <v>195</v>
      </c>
      <c r="D67" s="51" t="s">
        <v>196</v>
      </c>
      <c r="E67" s="52" t="s">
        <v>34</v>
      </c>
      <c r="F67" s="53" t="n">
        <f aca="false">F68</f>
        <v>10.92</v>
      </c>
      <c r="G67" s="54" t="s">
        <v>197</v>
      </c>
      <c r="H67" s="54" t="s">
        <v>198</v>
      </c>
      <c r="I67" s="54" t="s">
        <v>199</v>
      </c>
      <c r="J67" s="54" t="s">
        <v>200</v>
      </c>
      <c r="K67" s="54" t="s">
        <v>201</v>
      </c>
      <c r="L67" s="54" t="s">
        <v>202</v>
      </c>
      <c r="M67" s="54" t="s">
        <v>203</v>
      </c>
      <c r="N67" s="55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</row>
    <row r="68" customFormat="false" ht="15" hidden="false" customHeight="false" outlineLevel="0" collapsed="false">
      <c r="A68" s="49" t="s">
        <v>204</v>
      </c>
      <c r="B68" s="50" t="s">
        <v>205</v>
      </c>
      <c r="C68" s="49" t="s">
        <v>206</v>
      </c>
      <c r="D68" s="51" t="s">
        <v>207</v>
      </c>
      <c r="E68" s="52" t="s">
        <v>34</v>
      </c>
      <c r="F68" s="53" t="n">
        <f aca="false">((1.7*2.1)*2)+(1.89*2)</f>
        <v>10.92</v>
      </c>
      <c r="G68" s="54" t="n">
        <v>13.27</v>
      </c>
      <c r="H68" s="54" t="n">
        <v>11.02</v>
      </c>
      <c r="I68" s="54" t="n">
        <f aca="false">G68+H68</f>
        <v>24.29</v>
      </c>
      <c r="J68" s="54" t="n">
        <f aca="false">G68*F68</f>
        <v>144.9084</v>
      </c>
      <c r="K68" s="54" t="n">
        <f aca="false">H68*F68</f>
        <v>120.3384</v>
      </c>
      <c r="L68" s="54" t="n">
        <f aca="false">J68+K68</f>
        <v>265.2468</v>
      </c>
      <c r="M68" s="54" t="n">
        <f aca="false">ROUND(L68*(1+$M$4),2)</f>
        <v>334.26</v>
      </c>
      <c r="N68" s="55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</row>
    <row r="69" customFormat="false" ht="15" hidden="false" customHeight="false" outlineLevel="0" collapsed="false">
      <c r="A69" s="49" t="s">
        <v>208</v>
      </c>
      <c r="B69" s="50" t="s">
        <v>209</v>
      </c>
      <c r="C69" s="49" t="s">
        <v>206</v>
      </c>
      <c r="D69" s="51" t="s">
        <v>207</v>
      </c>
      <c r="E69" s="52" t="s">
        <v>150</v>
      </c>
      <c r="F69" s="53" t="n">
        <v>29.04</v>
      </c>
      <c r="G69" s="54" t="n">
        <v>13.27</v>
      </c>
      <c r="H69" s="54" t="n">
        <v>11.02</v>
      </c>
      <c r="I69" s="54" t="n">
        <v>23.47</v>
      </c>
      <c r="J69" s="54" t="n">
        <v>361.548</v>
      </c>
      <c r="K69" s="54" t="n">
        <v>320.0208</v>
      </c>
      <c r="L69" s="54" t="n">
        <v>681.5688</v>
      </c>
      <c r="M69" s="54" t="n">
        <v>858.91</v>
      </c>
      <c r="N69" s="76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</row>
    <row r="70" customFormat="false" ht="15.75" hidden="false" customHeight="true" outlineLevel="0" collapsed="false">
      <c r="A70" s="67"/>
      <c r="B70" s="68"/>
      <c r="C70" s="67"/>
      <c r="D70" s="69"/>
      <c r="E70" s="70"/>
      <c r="F70" s="71"/>
      <c r="G70" s="71"/>
      <c r="H70" s="71"/>
      <c r="I70" s="71"/>
      <c r="J70" s="71"/>
      <c r="K70" s="71"/>
      <c r="L70" s="71"/>
      <c r="M70" s="71"/>
      <c r="N70" s="2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customFormat="false" ht="15" hidden="false" customHeight="true" outlineLevel="0" collapsed="false">
      <c r="A71" s="28" t="s">
        <v>210</v>
      </c>
      <c r="B71" s="29" t="s">
        <v>211</v>
      </c>
      <c r="C71" s="29"/>
      <c r="D71" s="72"/>
      <c r="E71" s="73"/>
      <c r="F71" s="74"/>
      <c r="G71" s="33"/>
      <c r="H71" s="33"/>
      <c r="I71" s="33"/>
      <c r="J71" s="33" t="n">
        <f aca="false">SUM(J72:J86)</f>
        <v>4460.323952</v>
      </c>
      <c r="K71" s="33" t="n">
        <f aca="false">SUM(K72:K86)</f>
        <v>1841.044288</v>
      </c>
      <c r="L71" s="33" t="n">
        <f aca="false">SUM(L72:L86)</f>
        <v>6301.36824</v>
      </c>
      <c r="M71" s="33" t="n">
        <f aca="false">SUM(M72:M86)</f>
        <v>7940.98</v>
      </c>
      <c r="N71" s="75" t="n">
        <f aca="false">M71</f>
        <v>7940.98</v>
      </c>
      <c r="O71" s="75" t="n">
        <f aca="false">M71</f>
        <v>7940.98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customFormat="false" ht="15" hidden="false" customHeight="false" outlineLevel="0" collapsed="false">
      <c r="A72" s="45" t="s">
        <v>212</v>
      </c>
      <c r="B72" s="50" t="s">
        <v>213</v>
      </c>
      <c r="C72" s="45" t="s">
        <v>214</v>
      </c>
      <c r="D72" s="51" t="s">
        <v>215</v>
      </c>
      <c r="E72" s="60" t="s">
        <v>216</v>
      </c>
      <c r="F72" s="61" t="n">
        <v>65</v>
      </c>
      <c r="G72" s="62" t="n">
        <v>1.95</v>
      </c>
      <c r="H72" s="62" t="n">
        <v>0.91</v>
      </c>
      <c r="I72" s="62" t="n">
        <f aca="false">G72+H72</f>
        <v>2.86</v>
      </c>
      <c r="J72" s="62" t="n">
        <f aca="false">G72*F72</f>
        <v>126.75</v>
      </c>
      <c r="K72" s="62" t="n">
        <f aca="false">H72*F72</f>
        <v>59.15</v>
      </c>
      <c r="L72" s="62" t="n">
        <f aca="false">J72+K72</f>
        <v>185.9</v>
      </c>
      <c r="M72" s="62" t="n">
        <f aca="false">ROUND(L72*(1+$M$4),2)</f>
        <v>234.27</v>
      </c>
      <c r="N72" s="42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</row>
    <row r="73" customFormat="false" ht="15" hidden="false" customHeight="false" outlineLevel="0" collapsed="false">
      <c r="A73" s="45" t="s">
        <v>217</v>
      </c>
      <c r="B73" s="50" t="s">
        <v>213</v>
      </c>
      <c r="C73" s="45" t="s">
        <v>218</v>
      </c>
      <c r="D73" s="51" t="s">
        <v>219</v>
      </c>
      <c r="E73" s="60" t="s">
        <v>216</v>
      </c>
      <c r="F73" s="61" t="n">
        <v>150</v>
      </c>
      <c r="G73" s="62" t="n">
        <v>2.97</v>
      </c>
      <c r="H73" s="62" t="n">
        <v>1.12</v>
      </c>
      <c r="I73" s="62" t="n">
        <f aca="false">G73+H73</f>
        <v>4.09</v>
      </c>
      <c r="J73" s="62" t="n">
        <f aca="false">G73*F73</f>
        <v>445.5</v>
      </c>
      <c r="K73" s="62" t="n">
        <f aca="false">H73*F73</f>
        <v>168</v>
      </c>
      <c r="L73" s="62" t="n">
        <f aca="false">J73+K73</f>
        <v>613.5</v>
      </c>
      <c r="M73" s="62" t="n">
        <f aca="false">ROUND(L73*(1+$M$4),2)</f>
        <v>773.13</v>
      </c>
      <c r="N73" s="42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</row>
    <row r="74" customFormat="false" ht="15" hidden="false" customHeight="false" outlineLevel="0" collapsed="false">
      <c r="A74" s="45" t="s">
        <v>220</v>
      </c>
      <c r="B74" s="50" t="s">
        <v>213</v>
      </c>
      <c r="C74" s="45" t="s">
        <v>221</v>
      </c>
      <c r="D74" s="51" t="s">
        <v>222</v>
      </c>
      <c r="E74" s="60" t="s">
        <v>216</v>
      </c>
      <c r="F74" s="61" t="n">
        <v>35</v>
      </c>
      <c r="G74" s="62" t="n">
        <v>5.11</v>
      </c>
      <c r="H74" s="62" t="n">
        <v>1.48</v>
      </c>
      <c r="I74" s="62" t="n">
        <f aca="false">G74+H74</f>
        <v>6.59</v>
      </c>
      <c r="J74" s="62" t="n">
        <f aca="false">G74*F74</f>
        <v>178.85</v>
      </c>
      <c r="K74" s="62" t="n">
        <f aca="false">H74*F74</f>
        <v>51.8</v>
      </c>
      <c r="L74" s="62" t="n">
        <f aca="false">J74+K74</f>
        <v>230.65</v>
      </c>
      <c r="M74" s="62" t="n">
        <f aca="false">ROUND(L74*(1+$M$4),2)</f>
        <v>290.67</v>
      </c>
      <c r="N74" s="42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</row>
    <row r="75" customFormat="false" ht="15" hidden="false" customHeight="false" outlineLevel="0" collapsed="false">
      <c r="A75" s="45" t="s">
        <v>223</v>
      </c>
      <c r="B75" s="50" t="s">
        <v>213</v>
      </c>
      <c r="C75" s="45" t="s">
        <v>224</v>
      </c>
      <c r="D75" s="51" t="s">
        <v>225</v>
      </c>
      <c r="E75" s="60" t="s">
        <v>216</v>
      </c>
      <c r="F75" s="61" t="n">
        <v>80</v>
      </c>
      <c r="G75" s="62" t="n">
        <v>7.06</v>
      </c>
      <c r="H75" s="62" t="n">
        <v>1.94</v>
      </c>
      <c r="I75" s="62" t="n">
        <f aca="false">G75+H75</f>
        <v>9</v>
      </c>
      <c r="J75" s="62" t="n">
        <f aca="false">G75*F75</f>
        <v>564.8</v>
      </c>
      <c r="K75" s="62" t="n">
        <f aca="false">H75*F75</f>
        <v>155.2</v>
      </c>
      <c r="L75" s="62" t="n">
        <f aca="false">J75+K75</f>
        <v>720</v>
      </c>
      <c r="M75" s="62" t="n">
        <f aca="false">ROUND(L75*(1+$M$4),2)</f>
        <v>907.34</v>
      </c>
      <c r="N75" s="42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</row>
    <row r="76" customFormat="false" ht="15" hidden="false" customHeight="false" outlineLevel="0" collapsed="false">
      <c r="A76" s="45" t="s">
        <v>226</v>
      </c>
      <c r="B76" s="50" t="s">
        <v>227</v>
      </c>
      <c r="C76" s="45" t="s">
        <v>228</v>
      </c>
      <c r="D76" s="51" t="s">
        <v>229</v>
      </c>
      <c r="E76" s="60" t="s">
        <v>14</v>
      </c>
      <c r="F76" s="61" t="n">
        <v>2</v>
      </c>
      <c r="G76" s="62" t="n">
        <v>17.88</v>
      </c>
      <c r="H76" s="62" t="n">
        <v>11.09</v>
      </c>
      <c r="I76" s="62" t="n">
        <f aca="false">G76+H76</f>
        <v>28.97</v>
      </c>
      <c r="J76" s="62" t="n">
        <f aca="false">G76*F76</f>
        <v>35.76</v>
      </c>
      <c r="K76" s="62" t="n">
        <f aca="false">H76*F76</f>
        <v>22.18</v>
      </c>
      <c r="L76" s="62" t="n">
        <f aca="false">J76+K76</f>
        <v>57.94</v>
      </c>
      <c r="M76" s="62" t="n">
        <f aca="false">ROUND(L76*(1+$M$4),2)</f>
        <v>73.02</v>
      </c>
      <c r="N76" s="42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</row>
    <row r="77" customFormat="false" ht="15" hidden="false" customHeight="false" outlineLevel="0" collapsed="false">
      <c r="A77" s="45" t="s">
        <v>230</v>
      </c>
      <c r="B77" s="50" t="s">
        <v>231</v>
      </c>
      <c r="C77" s="45" t="s">
        <v>232</v>
      </c>
      <c r="D77" s="51" t="s">
        <v>233</v>
      </c>
      <c r="E77" s="60" t="s">
        <v>14</v>
      </c>
      <c r="F77" s="61" t="n">
        <v>20</v>
      </c>
      <c r="G77" s="62" t="n">
        <v>33.18</v>
      </c>
      <c r="H77" s="62" t="n">
        <v>23.51</v>
      </c>
      <c r="I77" s="62" t="n">
        <f aca="false">G77+H77</f>
        <v>56.69</v>
      </c>
      <c r="J77" s="62" t="n">
        <f aca="false">G77*F77</f>
        <v>663.6</v>
      </c>
      <c r="K77" s="62" t="n">
        <f aca="false">H77*F77</f>
        <v>470.2</v>
      </c>
      <c r="L77" s="62" t="n">
        <f aca="false">J77+K77</f>
        <v>1133.8</v>
      </c>
      <c r="M77" s="62" t="n">
        <f aca="false">ROUND(L77*(1+$M$4),2)</f>
        <v>1428.81</v>
      </c>
      <c r="N77" s="42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</row>
    <row r="78" customFormat="false" ht="15" hidden="false" customHeight="false" outlineLevel="0" collapsed="false">
      <c r="A78" s="45" t="s">
        <v>234</v>
      </c>
      <c r="B78" s="50" t="s">
        <v>235</v>
      </c>
      <c r="C78" s="45" t="s">
        <v>236</v>
      </c>
      <c r="D78" s="51" t="s">
        <v>237</v>
      </c>
      <c r="E78" s="60" t="s">
        <v>14</v>
      </c>
      <c r="F78" s="61" t="n">
        <v>22</v>
      </c>
      <c r="G78" s="62" t="n">
        <v>16.2</v>
      </c>
      <c r="H78" s="62" t="n">
        <v>12.92</v>
      </c>
      <c r="I78" s="62" t="n">
        <f aca="false">G78+H78</f>
        <v>29.12</v>
      </c>
      <c r="J78" s="62" t="n">
        <f aca="false">G78*F78</f>
        <v>356.4</v>
      </c>
      <c r="K78" s="62" t="n">
        <f aca="false">H78*F78</f>
        <v>284.24</v>
      </c>
      <c r="L78" s="62" t="n">
        <f aca="false">J78+K78</f>
        <v>640.64</v>
      </c>
      <c r="M78" s="62" t="n">
        <f aca="false">ROUND(L78*(1+$M$4),2)</f>
        <v>807.33</v>
      </c>
      <c r="N78" s="42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</row>
    <row r="79" customFormat="false" ht="15" hidden="false" customHeight="false" outlineLevel="0" collapsed="false">
      <c r="A79" s="45" t="s">
        <v>238</v>
      </c>
      <c r="B79" s="50" t="s">
        <v>239</v>
      </c>
      <c r="C79" s="45" t="n">
        <v>97667</v>
      </c>
      <c r="D79" s="51" t="s">
        <v>240</v>
      </c>
      <c r="E79" s="60" t="s">
        <v>216</v>
      </c>
      <c r="F79" s="61" t="n">
        <v>35</v>
      </c>
      <c r="G79" s="62" t="n">
        <v>5.41</v>
      </c>
      <c r="H79" s="62" t="n">
        <v>2.52</v>
      </c>
      <c r="I79" s="62" t="n">
        <f aca="false">G79+H79</f>
        <v>7.93</v>
      </c>
      <c r="J79" s="62" t="n">
        <f aca="false">G79*F79</f>
        <v>189.35</v>
      </c>
      <c r="K79" s="62" t="n">
        <f aca="false">H79*F79</f>
        <v>88.2</v>
      </c>
      <c r="L79" s="62" t="n">
        <f aca="false">J79+K79</f>
        <v>277.55</v>
      </c>
      <c r="M79" s="62" t="n">
        <f aca="false">ROUND(L79*(1+$M$4),2)</f>
        <v>349.77</v>
      </c>
      <c r="N79" s="42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</row>
    <row r="80" customFormat="false" ht="15" hidden="false" customHeight="false" outlineLevel="0" collapsed="false">
      <c r="A80" s="45" t="s">
        <v>241</v>
      </c>
      <c r="B80" s="50" t="s">
        <v>242</v>
      </c>
      <c r="C80" s="45" t="s">
        <v>243</v>
      </c>
      <c r="D80" s="51" t="s">
        <v>244</v>
      </c>
      <c r="E80" s="60" t="s">
        <v>216</v>
      </c>
      <c r="F80" s="61" t="n">
        <v>44</v>
      </c>
      <c r="G80" s="62" t="n">
        <f aca="false">COMPOSIÇÕES!H41</f>
        <v>18.804408</v>
      </c>
      <c r="H80" s="62" t="n">
        <f aca="false">COMPOSIÇÕES!I41</f>
        <v>8.965552</v>
      </c>
      <c r="I80" s="62" t="n">
        <f aca="false">G80+H80</f>
        <v>27.76996</v>
      </c>
      <c r="J80" s="62" t="n">
        <f aca="false">G80*F80</f>
        <v>827.393952</v>
      </c>
      <c r="K80" s="62" t="n">
        <f aca="false">H80*F80</f>
        <v>394.484288</v>
      </c>
      <c r="L80" s="62" t="n">
        <f aca="false">J80+K80</f>
        <v>1221.87824</v>
      </c>
      <c r="M80" s="62" t="n">
        <f aca="false">ROUND(L80*(1+$M$4),2)</f>
        <v>1539.81</v>
      </c>
      <c r="N80" s="42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</row>
    <row r="81" customFormat="false" ht="15" hidden="false" customHeight="false" outlineLevel="0" collapsed="false">
      <c r="A81" s="45" t="s">
        <v>245</v>
      </c>
      <c r="B81" s="50" t="s">
        <v>246</v>
      </c>
      <c r="C81" s="45" t="s">
        <v>247</v>
      </c>
      <c r="D81" s="51" t="s">
        <v>248</v>
      </c>
      <c r="E81" s="60" t="s">
        <v>14</v>
      </c>
      <c r="F81" s="61" t="n">
        <v>4</v>
      </c>
      <c r="G81" s="62" t="n">
        <v>33.36</v>
      </c>
      <c r="H81" s="62" t="n">
        <v>13</v>
      </c>
      <c r="I81" s="62" t="n">
        <f aca="false">G81+H81</f>
        <v>46.36</v>
      </c>
      <c r="J81" s="62" t="n">
        <f aca="false">G81*F81</f>
        <v>133.44</v>
      </c>
      <c r="K81" s="62" t="n">
        <f aca="false">H81*F81</f>
        <v>52</v>
      </c>
      <c r="L81" s="62" t="n">
        <f aca="false">J81+K81</f>
        <v>185.44</v>
      </c>
      <c r="M81" s="62" t="n">
        <f aca="false">ROUND(L81*(1+$M$4),2)</f>
        <v>233.69</v>
      </c>
      <c r="N81" s="42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</row>
    <row r="82" customFormat="false" ht="15" hidden="false" customHeight="false" outlineLevel="0" collapsed="false">
      <c r="A82" s="45" t="s">
        <v>249</v>
      </c>
      <c r="B82" s="50" t="s">
        <v>250</v>
      </c>
      <c r="C82" s="45" t="s">
        <v>251</v>
      </c>
      <c r="D82" s="51" t="s">
        <v>252</v>
      </c>
      <c r="E82" s="60" t="s">
        <v>14</v>
      </c>
      <c r="F82" s="61" t="n">
        <v>3</v>
      </c>
      <c r="G82" s="62" t="n">
        <v>12.25</v>
      </c>
      <c r="H82" s="62" t="n">
        <v>1.3</v>
      </c>
      <c r="I82" s="62" t="n">
        <f aca="false">G82+H82</f>
        <v>13.55</v>
      </c>
      <c r="J82" s="62" t="n">
        <f aca="false">G82*F82</f>
        <v>36.75</v>
      </c>
      <c r="K82" s="62" t="n">
        <f aca="false">H82*F82</f>
        <v>3.9</v>
      </c>
      <c r="L82" s="62" t="n">
        <f aca="false">J82+K82</f>
        <v>40.65</v>
      </c>
      <c r="M82" s="62" t="n">
        <f aca="false">ROUND(L82*(1+$M$4),2)</f>
        <v>51.23</v>
      </c>
      <c r="N82" s="42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</row>
    <row r="83" customFormat="false" ht="15" hidden="false" customHeight="false" outlineLevel="0" collapsed="false">
      <c r="A83" s="45" t="s">
        <v>253</v>
      </c>
      <c r="B83" s="50" t="s">
        <v>254</v>
      </c>
      <c r="C83" s="45" t="s">
        <v>255</v>
      </c>
      <c r="D83" s="51" t="s">
        <v>256</v>
      </c>
      <c r="E83" s="60" t="s">
        <v>14</v>
      </c>
      <c r="F83" s="61" t="n">
        <v>1</v>
      </c>
      <c r="G83" s="62" t="n">
        <v>66.53</v>
      </c>
      <c r="H83" s="62" t="n">
        <v>4.96</v>
      </c>
      <c r="I83" s="62" t="n">
        <f aca="false">G83+H83</f>
        <v>71.49</v>
      </c>
      <c r="J83" s="62" t="n">
        <f aca="false">G83*F83</f>
        <v>66.53</v>
      </c>
      <c r="K83" s="62" t="n">
        <f aca="false">H83*F83</f>
        <v>4.96</v>
      </c>
      <c r="L83" s="62" t="n">
        <f aca="false">J83+K83</f>
        <v>71.49</v>
      </c>
      <c r="M83" s="62" t="n">
        <f aca="false">ROUND(L83*(1+$M$4),2)</f>
        <v>90.09</v>
      </c>
      <c r="N83" s="42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</row>
    <row r="84" customFormat="false" ht="15" hidden="false" customHeight="false" outlineLevel="0" collapsed="false">
      <c r="A84" s="45" t="s">
        <v>257</v>
      </c>
      <c r="B84" s="50" t="s">
        <v>254</v>
      </c>
      <c r="C84" s="45" t="s">
        <v>258</v>
      </c>
      <c r="D84" s="51" t="s">
        <v>259</v>
      </c>
      <c r="E84" s="60" t="s">
        <v>14</v>
      </c>
      <c r="F84" s="61" t="n">
        <v>1</v>
      </c>
      <c r="G84" s="62" t="n">
        <v>68.04</v>
      </c>
      <c r="H84" s="62" t="n">
        <v>10.15</v>
      </c>
      <c r="I84" s="62" t="n">
        <f aca="false">G84+H84</f>
        <v>78.19</v>
      </c>
      <c r="J84" s="62" t="n">
        <f aca="false">G84*F84</f>
        <v>68.04</v>
      </c>
      <c r="K84" s="62" t="n">
        <f aca="false">H84*F84</f>
        <v>10.15</v>
      </c>
      <c r="L84" s="62" t="n">
        <f aca="false">J84+K84</f>
        <v>78.19</v>
      </c>
      <c r="M84" s="62" t="n">
        <f aca="false">ROUND(L84*(1+$M$4),2)</f>
        <v>98.54</v>
      </c>
      <c r="N84" s="42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</row>
    <row r="85" customFormat="false" ht="15" hidden="false" customHeight="false" outlineLevel="0" collapsed="false">
      <c r="A85" s="45" t="s">
        <v>260</v>
      </c>
      <c r="B85" s="50" t="s">
        <v>261</v>
      </c>
      <c r="C85" s="49" t="s">
        <v>262</v>
      </c>
      <c r="D85" s="51" t="s">
        <v>263</v>
      </c>
      <c r="E85" s="60" t="s">
        <v>14</v>
      </c>
      <c r="F85" s="61" t="n">
        <v>2</v>
      </c>
      <c r="G85" s="62" t="n">
        <v>10.44</v>
      </c>
      <c r="H85" s="62" t="n">
        <f aca="false">I85-G85</f>
        <v>3.43</v>
      </c>
      <c r="I85" s="62" t="n">
        <v>13.87</v>
      </c>
      <c r="J85" s="62" t="n">
        <f aca="false">G85*F85</f>
        <v>20.88</v>
      </c>
      <c r="K85" s="62" t="n">
        <f aca="false">H85*F85</f>
        <v>6.86</v>
      </c>
      <c r="L85" s="62" t="n">
        <f aca="false">J85+K85</f>
        <v>27.74</v>
      </c>
      <c r="M85" s="62" t="n">
        <f aca="false">ROUND(L85*(1+$M$4),2)</f>
        <v>34.96</v>
      </c>
      <c r="N85" s="42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</row>
    <row r="86" customFormat="false" ht="15" hidden="false" customHeight="false" outlineLevel="0" collapsed="false">
      <c r="A86" s="45" t="s">
        <v>264</v>
      </c>
      <c r="B86" s="50" t="s">
        <v>265</v>
      </c>
      <c r="C86" s="45" t="s">
        <v>266</v>
      </c>
      <c r="D86" s="51" t="s">
        <v>267</v>
      </c>
      <c r="E86" s="60" t="s">
        <v>14</v>
      </c>
      <c r="F86" s="61" t="n">
        <v>6</v>
      </c>
      <c r="G86" s="62" t="n">
        <v>124.38</v>
      </c>
      <c r="H86" s="62" t="n">
        <v>11.62</v>
      </c>
      <c r="I86" s="62" t="n">
        <f aca="false">G86+H86</f>
        <v>136</v>
      </c>
      <c r="J86" s="62" t="n">
        <f aca="false">G86*F86</f>
        <v>746.28</v>
      </c>
      <c r="K86" s="62" t="n">
        <f aca="false">H86*F86</f>
        <v>69.72</v>
      </c>
      <c r="L86" s="62" t="n">
        <f aca="false">J86+K86</f>
        <v>816</v>
      </c>
      <c r="M86" s="62" t="n">
        <f aca="false">ROUND(L86*(1+$M$4),2)</f>
        <v>1028.32</v>
      </c>
      <c r="N86" s="42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</row>
    <row r="87" customFormat="false" ht="15.75" hidden="false" customHeight="true" outlineLevel="0" collapsed="false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42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</row>
    <row r="88" customFormat="false" ht="15" hidden="false" customHeight="true" outlineLevel="0" collapsed="false">
      <c r="A88" s="28" t="s">
        <v>268</v>
      </c>
      <c r="B88" s="29" t="s">
        <v>269</v>
      </c>
      <c r="C88" s="29"/>
      <c r="D88" s="72"/>
      <c r="E88" s="73"/>
      <c r="F88" s="74"/>
      <c r="G88" s="33"/>
      <c r="H88" s="33"/>
      <c r="I88" s="33"/>
      <c r="J88" s="33" t="n">
        <f aca="false">SUM(J90:J130)</f>
        <v>8171.172904</v>
      </c>
      <c r="K88" s="33" t="n">
        <f aca="false">SUM(K90:K130)</f>
        <v>1696.289096</v>
      </c>
      <c r="L88" s="33" t="n">
        <f aca="false">SUM(L90:L130)</f>
        <v>9867.462</v>
      </c>
      <c r="M88" s="33" t="n">
        <f aca="false">SUM(M90:M130)</f>
        <v>12434.92</v>
      </c>
      <c r="N88" s="78" t="n">
        <f aca="false">M88</f>
        <v>12434.92</v>
      </c>
      <c r="O88" s="78" t="n">
        <f aca="false">M88</f>
        <v>12434.92</v>
      </c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</row>
    <row r="89" customFormat="false" ht="15.75" hidden="false" customHeight="true" outlineLevel="0" collapsed="false">
      <c r="A89" s="28" t="s">
        <v>270</v>
      </c>
      <c r="B89" s="29" t="s">
        <v>271</v>
      </c>
      <c r="C89" s="28"/>
      <c r="D89" s="72"/>
      <c r="E89" s="73"/>
      <c r="F89" s="74"/>
      <c r="G89" s="33"/>
      <c r="H89" s="33"/>
      <c r="I89" s="33"/>
      <c r="J89" s="33"/>
      <c r="K89" s="33"/>
      <c r="L89" s="33"/>
      <c r="M89" s="33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</row>
    <row r="90" customFormat="false" ht="15" hidden="false" customHeight="false" outlineLevel="0" collapsed="false">
      <c r="A90" s="45" t="s">
        <v>272</v>
      </c>
      <c r="B90" s="50" t="s">
        <v>273</v>
      </c>
      <c r="C90" s="45" t="s">
        <v>274</v>
      </c>
      <c r="D90" s="51" t="s">
        <v>275</v>
      </c>
      <c r="E90" s="60" t="s">
        <v>216</v>
      </c>
      <c r="F90" s="61" t="n">
        <v>10</v>
      </c>
      <c r="G90" s="62" t="n">
        <v>0.09</v>
      </c>
      <c r="H90" s="62" t="n">
        <v>0.39</v>
      </c>
      <c r="I90" s="62" t="n">
        <f aca="false">G90+H90</f>
        <v>0.48</v>
      </c>
      <c r="J90" s="62" t="n">
        <f aca="false">G90*F90</f>
        <v>0.9</v>
      </c>
      <c r="K90" s="62" t="n">
        <f aca="false">H90*F90</f>
        <v>3.9</v>
      </c>
      <c r="L90" s="62" t="n">
        <f aca="false">J90+K90</f>
        <v>4.8</v>
      </c>
      <c r="M90" s="62" t="n">
        <f aca="false">ROUND(L90*(1+$M$4),2)</f>
        <v>6.05</v>
      </c>
      <c r="N90" s="42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</row>
    <row r="91" customFormat="false" ht="15" hidden="false" customHeight="false" outlineLevel="0" collapsed="false">
      <c r="A91" s="45" t="s">
        <v>276</v>
      </c>
      <c r="B91" s="50" t="s">
        <v>277</v>
      </c>
      <c r="C91" s="45" t="s">
        <v>278</v>
      </c>
      <c r="D91" s="51" t="s">
        <v>279</v>
      </c>
      <c r="E91" s="60" t="s">
        <v>216</v>
      </c>
      <c r="F91" s="61" t="n">
        <v>15</v>
      </c>
      <c r="G91" s="62" t="n">
        <v>3.1</v>
      </c>
      <c r="H91" s="62" t="n">
        <v>10.58</v>
      </c>
      <c r="I91" s="62" t="n">
        <f aca="false">G91+H91</f>
        <v>13.68</v>
      </c>
      <c r="J91" s="62" t="n">
        <f aca="false">G91*F91</f>
        <v>46.5</v>
      </c>
      <c r="K91" s="62" t="n">
        <f aca="false">H91*F91</f>
        <v>158.7</v>
      </c>
      <c r="L91" s="62" t="n">
        <f aca="false">J91+K91</f>
        <v>205.2</v>
      </c>
      <c r="M91" s="62" t="n">
        <f aca="false">ROUND(L91*(1+$M$4),2)</f>
        <v>258.59</v>
      </c>
      <c r="N91" s="42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</row>
    <row r="92" customFormat="false" ht="15" hidden="false" customHeight="false" outlineLevel="0" collapsed="false">
      <c r="A92" s="45" t="s">
        <v>280</v>
      </c>
      <c r="B92" s="50" t="s">
        <v>281</v>
      </c>
      <c r="C92" s="45" t="s">
        <v>282</v>
      </c>
      <c r="D92" s="51" t="s">
        <v>283</v>
      </c>
      <c r="E92" s="60" t="s">
        <v>216</v>
      </c>
      <c r="F92" s="61" t="n">
        <v>15</v>
      </c>
      <c r="G92" s="62" t="n">
        <v>4.04</v>
      </c>
      <c r="H92" s="62" t="n">
        <v>9.52</v>
      </c>
      <c r="I92" s="62" t="n">
        <f aca="false">G92+H92</f>
        <v>13.56</v>
      </c>
      <c r="J92" s="62" t="n">
        <f aca="false">G92*F92</f>
        <v>60.6</v>
      </c>
      <c r="K92" s="62" t="n">
        <f aca="false">H92*F92</f>
        <v>142.8</v>
      </c>
      <c r="L92" s="62" t="n">
        <f aca="false">J92+K92</f>
        <v>203.4</v>
      </c>
      <c r="M92" s="62" t="n">
        <f aca="false">ROUND(L92*(1+$M$4),2)</f>
        <v>256.32</v>
      </c>
      <c r="N92" s="42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</row>
    <row r="93" customFormat="false" ht="15" hidden="false" customHeight="false" outlineLevel="0" collapsed="false">
      <c r="A93" s="45" t="s">
        <v>284</v>
      </c>
      <c r="B93" s="50" t="s">
        <v>285</v>
      </c>
      <c r="C93" s="45" t="s">
        <v>286</v>
      </c>
      <c r="D93" s="51" t="s">
        <v>287</v>
      </c>
      <c r="E93" s="60" t="s">
        <v>216</v>
      </c>
      <c r="F93" s="61" t="n">
        <v>5</v>
      </c>
      <c r="G93" s="62" t="n">
        <v>9.76</v>
      </c>
      <c r="H93" s="62" t="n">
        <v>14.09</v>
      </c>
      <c r="I93" s="62" t="n">
        <f aca="false">G93+H93</f>
        <v>23.85</v>
      </c>
      <c r="J93" s="62" t="n">
        <f aca="false">G93*F93</f>
        <v>48.8</v>
      </c>
      <c r="K93" s="62" t="n">
        <f aca="false">H93*F93</f>
        <v>70.45</v>
      </c>
      <c r="L93" s="62" t="n">
        <f aca="false">J93+K93</f>
        <v>119.25</v>
      </c>
      <c r="M93" s="62" t="n">
        <f aca="false">ROUND(L93*(1+$M$4),2)</f>
        <v>150.28</v>
      </c>
      <c r="N93" s="42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</row>
    <row r="94" customFormat="false" ht="15" hidden="false" customHeight="false" outlineLevel="0" collapsed="false">
      <c r="A94" s="45" t="s">
        <v>288</v>
      </c>
      <c r="B94" s="50" t="s">
        <v>285</v>
      </c>
      <c r="C94" s="45" t="s">
        <v>289</v>
      </c>
      <c r="D94" s="51" t="s">
        <v>290</v>
      </c>
      <c r="E94" s="60" t="s">
        <v>216</v>
      </c>
      <c r="F94" s="61" t="n">
        <v>12</v>
      </c>
      <c r="G94" s="62" t="n">
        <v>20.7</v>
      </c>
      <c r="H94" s="62" t="n">
        <v>6.99</v>
      </c>
      <c r="I94" s="62" t="n">
        <f aca="false">G94+H94</f>
        <v>27.69</v>
      </c>
      <c r="J94" s="62" t="n">
        <f aca="false">G94*F94</f>
        <v>248.4</v>
      </c>
      <c r="K94" s="62" t="n">
        <f aca="false">H94*F94</f>
        <v>83.88</v>
      </c>
      <c r="L94" s="62" t="n">
        <f aca="false">J94+K94</f>
        <v>332.28</v>
      </c>
      <c r="M94" s="62" t="n">
        <f aca="false">ROUND(L94*(1+$M$4),2)</f>
        <v>418.74</v>
      </c>
      <c r="N94" s="42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</row>
    <row r="95" customFormat="false" ht="15" hidden="false" customHeight="false" outlineLevel="0" collapsed="false">
      <c r="A95" s="45" t="s">
        <v>291</v>
      </c>
      <c r="B95" s="50" t="s">
        <v>292</v>
      </c>
      <c r="C95" s="45" t="s">
        <v>293</v>
      </c>
      <c r="D95" s="51" t="s">
        <v>294</v>
      </c>
      <c r="E95" s="60" t="s">
        <v>14</v>
      </c>
      <c r="F95" s="61" t="n">
        <v>4</v>
      </c>
      <c r="G95" s="62" t="n">
        <v>10.23</v>
      </c>
      <c r="H95" s="62" t="n">
        <v>4.22</v>
      </c>
      <c r="I95" s="62" t="n">
        <f aca="false">G95+H95</f>
        <v>14.45</v>
      </c>
      <c r="J95" s="62" t="n">
        <f aca="false">G95*F95</f>
        <v>40.92</v>
      </c>
      <c r="K95" s="62" t="n">
        <f aca="false">H95*F95</f>
        <v>16.88</v>
      </c>
      <c r="L95" s="62" t="n">
        <f aca="false">J95+K95</f>
        <v>57.8</v>
      </c>
      <c r="M95" s="62" t="n">
        <f aca="false">ROUND(L95*(1+$M$4),2)</f>
        <v>72.84</v>
      </c>
      <c r="N95" s="42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</row>
    <row r="96" customFormat="false" ht="15" hidden="false" customHeight="false" outlineLevel="0" collapsed="false">
      <c r="A96" s="45" t="s">
        <v>295</v>
      </c>
      <c r="B96" s="50" t="s">
        <v>296</v>
      </c>
      <c r="C96" s="45" t="s">
        <v>297</v>
      </c>
      <c r="D96" s="51" t="s">
        <v>298</v>
      </c>
      <c r="E96" s="60" t="s">
        <v>14</v>
      </c>
      <c r="F96" s="61" t="n">
        <v>2</v>
      </c>
      <c r="G96" s="62" t="n">
        <v>147.1</v>
      </c>
      <c r="H96" s="62" t="n">
        <v>13.84</v>
      </c>
      <c r="I96" s="62" t="n">
        <f aca="false">G96+H96</f>
        <v>160.94</v>
      </c>
      <c r="J96" s="62" t="n">
        <f aca="false">G96*F96</f>
        <v>294.2</v>
      </c>
      <c r="K96" s="62" t="n">
        <f aca="false">H96*F96</f>
        <v>27.68</v>
      </c>
      <c r="L96" s="62" t="n">
        <f aca="false">J96+K96</f>
        <v>321.88</v>
      </c>
      <c r="M96" s="62" t="n">
        <f aca="false">ROUND(L96*(1+$M$4),2)</f>
        <v>405.63</v>
      </c>
      <c r="N96" s="42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</row>
    <row r="97" customFormat="false" ht="15" hidden="false" customHeight="false" outlineLevel="0" collapsed="false">
      <c r="A97" s="45" t="s">
        <v>299</v>
      </c>
      <c r="B97" s="50" t="s">
        <v>300</v>
      </c>
      <c r="C97" s="45" t="s">
        <v>301</v>
      </c>
      <c r="D97" s="51" t="s">
        <v>302</v>
      </c>
      <c r="E97" s="60" t="s">
        <v>14</v>
      </c>
      <c r="F97" s="61" t="n">
        <v>2</v>
      </c>
      <c r="G97" s="62" t="n">
        <v>3.97</v>
      </c>
      <c r="H97" s="62" t="n">
        <v>5.66</v>
      </c>
      <c r="I97" s="62" t="n">
        <f aca="false">G97+H97</f>
        <v>9.63</v>
      </c>
      <c r="J97" s="62" t="n">
        <f aca="false">G97*F97</f>
        <v>7.94</v>
      </c>
      <c r="K97" s="62" t="n">
        <f aca="false">H97*F97</f>
        <v>11.32</v>
      </c>
      <c r="L97" s="62" t="n">
        <f aca="false">J97+K97</f>
        <v>19.26</v>
      </c>
      <c r="M97" s="62" t="n">
        <f aca="false">ROUND(L97*(1+$M$4),2)</f>
        <v>24.27</v>
      </c>
      <c r="N97" s="42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</row>
    <row r="98" customFormat="false" ht="15" hidden="false" customHeight="false" outlineLevel="0" collapsed="false">
      <c r="A98" s="45" t="s">
        <v>303</v>
      </c>
      <c r="B98" s="50" t="s">
        <v>300</v>
      </c>
      <c r="C98" s="45" t="s">
        <v>304</v>
      </c>
      <c r="D98" s="51" t="s">
        <v>305</v>
      </c>
      <c r="E98" s="60" t="s">
        <v>14</v>
      </c>
      <c r="F98" s="61" t="n">
        <v>5</v>
      </c>
      <c r="G98" s="62" t="n">
        <v>11.78</v>
      </c>
      <c r="H98" s="62" t="n">
        <v>4.7</v>
      </c>
      <c r="I98" s="62" t="n">
        <f aca="false">G98+H98</f>
        <v>16.48</v>
      </c>
      <c r="J98" s="62" t="n">
        <f aca="false">G98*F98</f>
        <v>58.9</v>
      </c>
      <c r="K98" s="62" t="n">
        <f aca="false">H98*F98</f>
        <v>23.5</v>
      </c>
      <c r="L98" s="62" t="n">
        <f aca="false">J98+K98</f>
        <v>82.4</v>
      </c>
      <c r="M98" s="62" t="n">
        <f aca="false">ROUND(L98*(1+$M$4),2)</f>
        <v>103.84</v>
      </c>
      <c r="N98" s="42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</row>
    <row r="99" customFormat="false" ht="15" hidden="false" customHeight="false" outlineLevel="0" collapsed="false">
      <c r="A99" s="45" t="s">
        <v>306</v>
      </c>
      <c r="B99" s="50" t="s">
        <v>300</v>
      </c>
      <c r="C99" s="45" t="s">
        <v>307</v>
      </c>
      <c r="D99" s="51" t="s">
        <v>308</v>
      </c>
      <c r="E99" s="60" t="s">
        <v>14</v>
      </c>
      <c r="F99" s="61" t="n">
        <v>2</v>
      </c>
      <c r="G99" s="62" t="n">
        <v>10.51</v>
      </c>
      <c r="H99" s="62" t="n">
        <v>4.85</v>
      </c>
      <c r="I99" s="62" t="n">
        <f aca="false">G99+H99</f>
        <v>15.36</v>
      </c>
      <c r="J99" s="62" t="n">
        <f aca="false">G99*F99</f>
        <v>21.02</v>
      </c>
      <c r="K99" s="62" t="n">
        <f aca="false">H99*F99</f>
        <v>9.7</v>
      </c>
      <c r="L99" s="62" t="n">
        <f aca="false">J99+K99</f>
        <v>30.72</v>
      </c>
      <c r="M99" s="62" t="n">
        <f aca="false">ROUND(L99*(1+$M$4),2)</f>
        <v>38.71</v>
      </c>
      <c r="N99" s="42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</row>
    <row r="100" customFormat="false" ht="15" hidden="false" customHeight="false" outlineLevel="0" collapsed="false">
      <c r="A100" s="45" t="s">
        <v>309</v>
      </c>
      <c r="B100" s="50" t="s">
        <v>300</v>
      </c>
      <c r="C100" s="45" t="s">
        <v>310</v>
      </c>
      <c r="D100" s="51" t="s">
        <v>311</v>
      </c>
      <c r="E100" s="60" t="s">
        <v>14</v>
      </c>
      <c r="F100" s="61" t="n">
        <v>3</v>
      </c>
      <c r="G100" s="62" t="n">
        <v>19.61</v>
      </c>
      <c r="H100" s="62" t="n">
        <v>6.26</v>
      </c>
      <c r="I100" s="62" t="n">
        <f aca="false">G100+H100</f>
        <v>25.87</v>
      </c>
      <c r="J100" s="62" t="n">
        <f aca="false">G100*F100</f>
        <v>58.83</v>
      </c>
      <c r="K100" s="62" t="n">
        <f aca="false">H100*F100</f>
        <v>18.78</v>
      </c>
      <c r="L100" s="62" t="n">
        <f aca="false">J100+K100</f>
        <v>77.61</v>
      </c>
      <c r="M100" s="62" t="n">
        <f aca="false">ROUND(L100*(1+$M$4),2)</f>
        <v>97.8</v>
      </c>
      <c r="N100" s="42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</row>
    <row r="101" customFormat="false" ht="15" hidden="false" customHeight="false" outlineLevel="0" collapsed="false">
      <c r="A101" s="45" t="s">
        <v>312</v>
      </c>
      <c r="B101" s="50" t="s">
        <v>300</v>
      </c>
      <c r="C101" s="49" t="s">
        <v>313</v>
      </c>
      <c r="D101" s="51" t="s">
        <v>314</v>
      </c>
      <c r="E101" s="60" t="s">
        <v>14</v>
      </c>
      <c r="F101" s="61" t="n">
        <v>2</v>
      </c>
      <c r="G101" s="62" t="n">
        <v>7.52</v>
      </c>
      <c r="H101" s="62" t="n">
        <v>4.11</v>
      </c>
      <c r="I101" s="62" t="n">
        <f aca="false">G101+H101</f>
        <v>11.63</v>
      </c>
      <c r="J101" s="62" t="n">
        <f aca="false">G101*F101</f>
        <v>15.04</v>
      </c>
      <c r="K101" s="62" t="n">
        <f aca="false">H101*F101</f>
        <v>8.22</v>
      </c>
      <c r="L101" s="62" t="n">
        <f aca="false">J101+K101</f>
        <v>23.26</v>
      </c>
      <c r="M101" s="62" t="n">
        <f aca="false">ROUND(L101*(1+$M$4),2)</f>
        <v>29.31</v>
      </c>
      <c r="N101" s="42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</row>
    <row r="102" customFormat="false" ht="15" hidden="false" customHeight="false" outlineLevel="0" collapsed="false">
      <c r="A102" s="45" t="s">
        <v>315</v>
      </c>
      <c r="B102" s="50" t="s">
        <v>316</v>
      </c>
      <c r="C102" s="45" t="s">
        <v>317</v>
      </c>
      <c r="D102" s="51" t="s">
        <v>318</v>
      </c>
      <c r="E102" s="60" t="s">
        <v>14</v>
      </c>
      <c r="F102" s="61" t="n">
        <v>2</v>
      </c>
      <c r="G102" s="62" t="n">
        <v>279.55</v>
      </c>
      <c r="H102" s="62" t="n">
        <v>34.22</v>
      </c>
      <c r="I102" s="62" t="n">
        <f aca="false">G102+H102</f>
        <v>313.77</v>
      </c>
      <c r="J102" s="62" t="n">
        <f aca="false">G102*F102</f>
        <v>559.1</v>
      </c>
      <c r="K102" s="62" t="n">
        <f aca="false">H102*F102</f>
        <v>68.44</v>
      </c>
      <c r="L102" s="62" t="n">
        <f aca="false">J102+K102</f>
        <v>627.54</v>
      </c>
      <c r="M102" s="62" t="n">
        <f aca="false">ROUND(L102*(1+$M$4),2)</f>
        <v>790.83</v>
      </c>
      <c r="N102" s="42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</row>
    <row r="103" customFormat="false" ht="15" hidden="false" customHeight="false" outlineLevel="0" collapsed="false">
      <c r="A103" s="28" t="s">
        <v>319</v>
      </c>
      <c r="B103" s="29" t="s">
        <v>320</v>
      </c>
      <c r="C103" s="28"/>
      <c r="D103" s="72"/>
      <c r="E103" s="73"/>
      <c r="F103" s="74"/>
      <c r="G103" s="33"/>
      <c r="H103" s="33"/>
      <c r="I103" s="33"/>
      <c r="J103" s="33"/>
      <c r="K103" s="33"/>
      <c r="L103" s="33"/>
      <c r="M103" s="33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81"/>
      <c r="AL103" s="81"/>
      <c r="AM103" s="81"/>
      <c r="AN103" s="81"/>
      <c r="AO103" s="81"/>
      <c r="AP103" s="81"/>
      <c r="AQ103" s="81"/>
      <c r="AR103" s="81"/>
      <c r="AS103" s="81"/>
      <c r="AT103" s="81"/>
      <c r="AU103" s="81"/>
      <c r="AV103" s="81"/>
      <c r="AW103" s="81"/>
      <c r="AX103" s="81"/>
      <c r="AY103" s="81"/>
      <c r="AZ103" s="81"/>
    </row>
    <row r="104" customFormat="false" ht="15" hidden="false" customHeight="false" outlineLevel="0" collapsed="false">
      <c r="A104" s="45" t="s">
        <v>321</v>
      </c>
      <c r="B104" s="50" t="s">
        <v>322</v>
      </c>
      <c r="C104" s="49" t="s">
        <v>323</v>
      </c>
      <c r="D104" s="51" t="s">
        <v>275</v>
      </c>
      <c r="E104" s="60" t="s">
        <v>216</v>
      </c>
      <c r="F104" s="61" t="n">
        <v>20</v>
      </c>
      <c r="G104" s="62" t="n">
        <v>0.09</v>
      </c>
      <c r="H104" s="62" t="n">
        <v>0.39</v>
      </c>
      <c r="I104" s="62" t="n">
        <f aca="false">G104+H104</f>
        <v>0.48</v>
      </c>
      <c r="J104" s="62" t="n">
        <f aca="false">G104*F104</f>
        <v>1.8</v>
      </c>
      <c r="K104" s="62" t="n">
        <f aca="false">H104*F104</f>
        <v>7.8</v>
      </c>
      <c r="L104" s="62" t="n">
        <f aca="false">J104+K104</f>
        <v>9.6</v>
      </c>
      <c r="M104" s="62" t="n">
        <f aca="false">ROUND(L104*(1+$M$4),2)</f>
        <v>12.1</v>
      </c>
      <c r="N104" s="42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</row>
    <row r="105" customFormat="false" ht="15" hidden="false" customHeight="false" outlineLevel="0" collapsed="false">
      <c r="A105" s="45" t="s">
        <v>324</v>
      </c>
      <c r="B105" s="50" t="s">
        <v>325</v>
      </c>
      <c r="C105" s="45" t="s">
        <v>326</v>
      </c>
      <c r="D105" s="51" t="s">
        <v>327</v>
      </c>
      <c r="E105" s="60" t="s">
        <v>328</v>
      </c>
      <c r="F105" s="61" t="n">
        <f aca="false">12*0.5*0.3</f>
        <v>1.8</v>
      </c>
      <c r="G105" s="62" t="n">
        <v>25.77</v>
      </c>
      <c r="H105" s="62" t="n">
        <v>58.76</v>
      </c>
      <c r="I105" s="62" t="n">
        <f aca="false">G105+H105</f>
        <v>84.53</v>
      </c>
      <c r="J105" s="62" t="n">
        <f aca="false">G105*F105</f>
        <v>46.386</v>
      </c>
      <c r="K105" s="62" t="n">
        <f aca="false">H105*F105</f>
        <v>105.768</v>
      </c>
      <c r="L105" s="62" t="n">
        <f aca="false">J105+K105</f>
        <v>152.154</v>
      </c>
      <c r="M105" s="62" t="n">
        <f aca="false">ROUND(L105*(1+$M$4),2)</f>
        <v>191.74</v>
      </c>
      <c r="N105" s="42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</row>
    <row r="106" customFormat="false" ht="15" hidden="false" customHeight="false" outlineLevel="0" collapsed="false">
      <c r="A106" s="45" t="s">
        <v>329</v>
      </c>
      <c r="B106" s="50" t="s">
        <v>330</v>
      </c>
      <c r="C106" s="45" t="s">
        <v>331</v>
      </c>
      <c r="D106" s="51" t="s">
        <v>332</v>
      </c>
      <c r="E106" s="60" t="s">
        <v>328</v>
      </c>
      <c r="F106" s="61" t="n">
        <v>1.8</v>
      </c>
      <c r="G106" s="62" t="n">
        <v>15.62</v>
      </c>
      <c r="H106" s="62" t="n">
        <v>35.63</v>
      </c>
      <c r="I106" s="62" t="n">
        <f aca="false">G106+H106</f>
        <v>51.25</v>
      </c>
      <c r="J106" s="62" t="n">
        <f aca="false">G106*F106</f>
        <v>28.116</v>
      </c>
      <c r="K106" s="62" t="n">
        <f aca="false">H106*F106</f>
        <v>64.134</v>
      </c>
      <c r="L106" s="62" t="n">
        <f aca="false">J106+K106</f>
        <v>92.25</v>
      </c>
      <c r="M106" s="62" t="n">
        <f aca="false">ROUND(L106*(1+$M$4),2)</f>
        <v>116.25</v>
      </c>
      <c r="N106" s="42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</row>
    <row r="107" customFormat="false" ht="15" hidden="false" customHeight="false" outlineLevel="0" collapsed="false">
      <c r="A107" s="45" t="s">
        <v>333</v>
      </c>
      <c r="B107" s="50" t="s">
        <v>334</v>
      </c>
      <c r="C107" s="45" t="s">
        <v>335</v>
      </c>
      <c r="D107" s="51" t="s">
        <v>336</v>
      </c>
      <c r="E107" s="60" t="s">
        <v>150</v>
      </c>
      <c r="F107" s="61" t="n">
        <f aca="false">12*0.5</f>
        <v>6</v>
      </c>
      <c r="G107" s="62" t="n">
        <v>66.04</v>
      </c>
      <c r="H107" s="62" t="n">
        <v>3.03</v>
      </c>
      <c r="I107" s="62" t="n">
        <f aca="false">G107+H107</f>
        <v>69.07</v>
      </c>
      <c r="J107" s="62" t="n">
        <f aca="false">G107*F107</f>
        <v>396.24</v>
      </c>
      <c r="K107" s="62" t="n">
        <f aca="false">H107*F107</f>
        <v>18.18</v>
      </c>
      <c r="L107" s="62" t="n">
        <f aca="false">J107+K107</f>
        <v>414.42</v>
      </c>
      <c r="M107" s="62" t="n">
        <f aca="false">ROUND(L107*(1+$M$4),2)</f>
        <v>522.25</v>
      </c>
      <c r="N107" s="42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</row>
    <row r="108" customFormat="false" ht="15" hidden="false" customHeight="false" outlineLevel="0" collapsed="false">
      <c r="A108" s="45" t="s">
        <v>337</v>
      </c>
      <c r="B108" s="50" t="s">
        <v>338</v>
      </c>
      <c r="C108" s="45" t="s">
        <v>339</v>
      </c>
      <c r="D108" s="51" t="s">
        <v>340</v>
      </c>
      <c r="E108" s="60" t="s">
        <v>14</v>
      </c>
      <c r="F108" s="61" t="n">
        <v>2</v>
      </c>
      <c r="G108" s="62" t="n">
        <v>218.89</v>
      </c>
      <c r="H108" s="62" t="n">
        <v>4.92</v>
      </c>
      <c r="I108" s="62" t="n">
        <f aca="false">G108+H108</f>
        <v>223.81</v>
      </c>
      <c r="J108" s="62" t="n">
        <f aca="false">G108*F108</f>
        <v>437.78</v>
      </c>
      <c r="K108" s="62" t="n">
        <f aca="false">H108*F108</f>
        <v>9.84</v>
      </c>
      <c r="L108" s="62" t="n">
        <f aca="false">J108+K108</f>
        <v>447.62</v>
      </c>
      <c r="M108" s="62" t="n">
        <f aca="false">ROUND(L108*(1+$M$4),2)</f>
        <v>564.09</v>
      </c>
      <c r="N108" s="42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</row>
    <row r="109" customFormat="false" ht="15" hidden="false" customHeight="false" outlineLevel="0" collapsed="false">
      <c r="A109" s="45" t="s">
        <v>341</v>
      </c>
      <c r="B109" s="50" t="s">
        <v>342</v>
      </c>
      <c r="C109" s="45" t="s">
        <v>343</v>
      </c>
      <c r="D109" s="51" t="s">
        <v>344</v>
      </c>
      <c r="E109" s="60" t="s">
        <v>216</v>
      </c>
      <c r="F109" s="61" t="n">
        <v>10</v>
      </c>
      <c r="G109" s="62" t="n">
        <v>37.72</v>
      </c>
      <c r="H109" s="62" t="n">
        <v>27.41</v>
      </c>
      <c r="I109" s="62" t="n">
        <f aca="false">G109+H109</f>
        <v>65.13</v>
      </c>
      <c r="J109" s="62" t="n">
        <f aca="false">G109*F109</f>
        <v>377.2</v>
      </c>
      <c r="K109" s="62" t="n">
        <f aca="false">H109*F109</f>
        <v>274.1</v>
      </c>
      <c r="L109" s="62" t="n">
        <f aca="false">J109+K109</f>
        <v>651.3</v>
      </c>
      <c r="M109" s="62" t="n">
        <f aca="false">ROUND(L109*(1+$M$4),2)</f>
        <v>820.77</v>
      </c>
      <c r="N109" s="42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</row>
    <row r="110" customFormat="false" ht="15" hidden="false" customHeight="false" outlineLevel="0" collapsed="false">
      <c r="A110" s="45" t="s">
        <v>345</v>
      </c>
      <c r="B110" s="50" t="s">
        <v>342</v>
      </c>
      <c r="C110" s="45" t="s">
        <v>346</v>
      </c>
      <c r="D110" s="51" t="s">
        <v>347</v>
      </c>
      <c r="E110" s="60" t="s">
        <v>216</v>
      </c>
      <c r="F110" s="61" t="n">
        <v>4</v>
      </c>
      <c r="G110" s="62" t="n">
        <v>11.3</v>
      </c>
      <c r="H110" s="62" t="n">
        <v>11.12</v>
      </c>
      <c r="I110" s="62" t="n">
        <f aca="false">G110+H110</f>
        <v>22.42</v>
      </c>
      <c r="J110" s="62" t="n">
        <f aca="false">G110*F110</f>
        <v>45.2</v>
      </c>
      <c r="K110" s="62" t="n">
        <f aca="false">H110*F110</f>
        <v>44.48</v>
      </c>
      <c r="L110" s="62" t="n">
        <f aca="false">J110+K110</f>
        <v>89.68</v>
      </c>
      <c r="M110" s="62" t="n">
        <f aca="false">ROUND(L110*(1+$M$4),2)</f>
        <v>113.01</v>
      </c>
      <c r="N110" s="42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</row>
    <row r="111" customFormat="false" ht="15" hidden="false" customHeight="false" outlineLevel="0" collapsed="false">
      <c r="A111" s="45" t="s">
        <v>348</v>
      </c>
      <c r="B111" s="50" t="s">
        <v>342</v>
      </c>
      <c r="C111" s="45" t="s">
        <v>349</v>
      </c>
      <c r="D111" s="51" t="s">
        <v>350</v>
      </c>
      <c r="E111" s="60" t="s">
        <v>216</v>
      </c>
      <c r="F111" s="61" t="n">
        <v>1</v>
      </c>
      <c r="G111" s="62" t="n">
        <v>19.71</v>
      </c>
      <c r="H111" s="62" t="n">
        <v>14.07</v>
      </c>
      <c r="I111" s="62" t="n">
        <f aca="false">G111+H111</f>
        <v>33.78</v>
      </c>
      <c r="J111" s="62" t="n">
        <f aca="false">G111*F111</f>
        <v>19.71</v>
      </c>
      <c r="K111" s="62" t="n">
        <f aca="false">H111*F111</f>
        <v>14.07</v>
      </c>
      <c r="L111" s="62" t="n">
        <f aca="false">J111+K111</f>
        <v>33.78</v>
      </c>
      <c r="M111" s="62" t="n">
        <f aca="false">ROUND(L111*(1+$M$4),2)</f>
        <v>42.57</v>
      </c>
      <c r="N111" s="42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</row>
    <row r="112" customFormat="false" ht="15" hidden="false" customHeight="false" outlineLevel="0" collapsed="false">
      <c r="A112" s="45" t="s">
        <v>351</v>
      </c>
      <c r="B112" s="50" t="s">
        <v>352</v>
      </c>
      <c r="C112" s="45" t="s">
        <v>353</v>
      </c>
      <c r="D112" s="51" t="s">
        <v>354</v>
      </c>
      <c r="E112" s="60" t="s">
        <v>14</v>
      </c>
      <c r="F112" s="61" t="n">
        <v>2</v>
      </c>
      <c r="G112" s="62" t="n">
        <v>6.84</v>
      </c>
      <c r="H112" s="62" t="n">
        <v>1.47</v>
      </c>
      <c r="I112" s="62" t="n">
        <f aca="false">G112+H112</f>
        <v>8.31</v>
      </c>
      <c r="J112" s="62" t="n">
        <f aca="false">G112*F112</f>
        <v>13.68</v>
      </c>
      <c r="K112" s="62" t="n">
        <f aca="false">H112*F112</f>
        <v>2.94</v>
      </c>
      <c r="L112" s="62" t="n">
        <f aca="false">J112+K112</f>
        <v>16.62</v>
      </c>
      <c r="M112" s="62" t="n">
        <f aca="false">ROUND(L112*(1+$M$4),2)</f>
        <v>20.94</v>
      </c>
      <c r="N112" s="42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</row>
    <row r="113" customFormat="false" ht="15" hidden="false" customHeight="false" outlineLevel="0" collapsed="false">
      <c r="A113" s="45" t="s">
        <v>355</v>
      </c>
      <c r="B113" s="50" t="s">
        <v>352</v>
      </c>
      <c r="C113" s="45" t="s">
        <v>356</v>
      </c>
      <c r="D113" s="51" t="s">
        <v>357</v>
      </c>
      <c r="E113" s="60" t="s">
        <v>14</v>
      </c>
      <c r="F113" s="61" t="n">
        <v>1</v>
      </c>
      <c r="G113" s="62" t="n">
        <v>18.3</v>
      </c>
      <c r="H113" s="62" t="n">
        <v>9.25</v>
      </c>
      <c r="I113" s="62" t="n">
        <f aca="false">G113+H113</f>
        <v>27.55</v>
      </c>
      <c r="J113" s="62" t="n">
        <f aca="false">G113*F113</f>
        <v>18.3</v>
      </c>
      <c r="K113" s="62" t="n">
        <f aca="false">H113*F113</f>
        <v>9.25</v>
      </c>
      <c r="L113" s="62" t="n">
        <f aca="false">J113+K113</f>
        <v>27.55</v>
      </c>
      <c r="M113" s="62" t="n">
        <f aca="false">ROUND(L113*(1+$M$4),2)</f>
        <v>34.72</v>
      </c>
      <c r="N113" s="42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</row>
    <row r="114" customFormat="false" ht="15" hidden="false" customHeight="false" outlineLevel="0" collapsed="false">
      <c r="A114" s="45" t="s">
        <v>358</v>
      </c>
      <c r="B114" s="50" t="s">
        <v>352</v>
      </c>
      <c r="C114" s="45" t="s">
        <v>359</v>
      </c>
      <c r="D114" s="51" t="s">
        <v>360</v>
      </c>
      <c r="E114" s="60" t="s">
        <v>14</v>
      </c>
      <c r="F114" s="61" t="n">
        <v>1</v>
      </c>
      <c r="G114" s="62" t="n">
        <v>41.45</v>
      </c>
      <c r="H114" s="62" t="n">
        <v>12.21</v>
      </c>
      <c r="I114" s="62" t="n">
        <f aca="false">G114+H114</f>
        <v>53.66</v>
      </c>
      <c r="J114" s="62" t="n">
        <f aca="false">G114*F114</f>
        <v>41.45</v>
      </c>
      <c r="K114" s="62" t="n">
        <f aca="false">H114*F114</f>
        <v>12.21</v>
      </c>
      <c r="L114" s="62" t="n">
        <f aca="false">J114+K114</f>
        <v>53.66</v>
      </c>
      <c r="M114" s="62" t="n">
        <f aca="false">ROUND(L114*(1+$M$4),2)</f>
        <v>67.62</v>
      </c>
      <c r="N114" s="42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</row>
    <row r="115" customFormat="false" ht="15" hidden="false" customHeight="false" outlineLevel="0" collapsed="false">
      <c r="A115" s="45" t="s">
        <v>361</v>
      </c>
      <c r="B115" s="50" t="s">
        <v>352</v>
      </c>
      <c r="C115" s="45" t="s">
        <v>362</v>
      </c>
      <c r="D115" s="51" t="s">
        <v>363</v>
      </c>
      <c r="E115" s="60" t="s">
        <v>14</v>
      </c>
      <c r="F115" s="61" t="n">
        <v>6</v>
      </c>
      <c r="G115" s="62" t="n">
        <v>8.14</v>
      </c>
      <c r="H115" s="62" t="n">
        <v>3.7</v>
      </c>
      <c r="I115" s="62" t="n">
        <f aca="false">G115+H115</f>
        <v>11.84</v>
      </c>
      <c r="J115" s="62" t="n">
        <f aca="false">G115*F115</f>
        <v>48.84</v>
      </c>
      <c r="K115" s="62" t="n">
        <f aca="false">H115*F115</f>
        <v>22.2</v>
      </c>
      <c r="L115" s="62" t="n">
        <f aca="false">J115+K115</f>
        <v>71.04</v>
      </c>
      <c r="M115" s="62" t="n">
        <f aca="false">ROUND(L115*(1+$M$4),2)</f>
        <v>89.52</v>
      </c>
      <c r="N115" s="42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</row>
    <row r="116" customFormat="false" ht="15" hidden="false" customHeight="false" outlineLevel="0" collapsed="false">
      <c r="A116" s="45" t="s">
        <v>364</v>
      </c>
      <c r="B116" s="50" t="s">
        <v>352</v>
      </c>
      <c r="C116" s="45" t="s">
        <v>365</v>
      </c>
      <c r="D116" s="51" t="s">
        <v>366</v>
      </c>
      <c r="E116" s="60" t="s">
        <v>14</v>
      </c>
      <c r="F116" s="61" t="n">
        <v>2</v>
      </c>
      <c r="G116" s="62" t="n">
        <v>18.37</v>
      </c>
      <c r="H116" s="62" t="n">
        <v>9.25</v>
      </c>
      <c r="I116" s="62" t="n">
        <f aca="false">G116+H116</f>
        <v>27.62</v>
      </c>
      <c r="J116" s="62" t="n">
        <f aca="false">G116*F116</f>
        <v>36.74</v>
      </c>
      <c r="K116" s="62" t="n">
        <f aca="false">H116*F116</f>
        <v>18.5</v>
      </c>
      <c r="L116" s="62" t="n">
        <f aca="false">J116+K116</f>
        <v>55.24</v>
      </c>
      <c r="M116" s="62" t="n">
        <f aca="false">ROUND(L116*(1+$M$4),2)</f>
        <v>69.61</v>
      </c>
      <c r="N116" s="42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</row>
    <row r="117" customFormat="false" ht="15" hidden="false" customHeight="false" outlineLevel="0" collapsed="false">
      <c r="A117" s="45" t="s">
        <v>367</v>
      </c>
      <c r="B117" s="50" t="s">
        <v>352</v>
      </c>
      <c r="C117" s="45" t="s">
        <v>368</v>
      </c>
      <c r="D117" s="51" t="s">
        <v>369</v>
      </c>
      <c r="E117" s="60" t="s">
        <v>14</v>
      </c>
      <c r="F117" s="61" t="n">
        <v>1</v>
      </c>
      <c r="G117" s="62" t="n">
        <v>29.51</v>
      </c>
      <c r="H117" s="62" t="n">
        <v>9.24</v>
      </c>
      <c r="I117" s="62" t="n">
        <f aca="false">G117+H117</f>
        <v>38.75</v>
      </c>
      <c r="J117" s="62" t="n">
        <f aca="false">G117*F117</f>
        <v>29.51</v>
      </c>
      <c r="K117" s="62" t="n">
        <f aca="false">H117*F117</f>
        <v>9.24</v>
      </c>
      <c r="L117" s="62" t="n">
        <f aca="false">J117+K117</f>
        <v>38.75</v>
      </c>
      <c r="M117" s="62" t="n">
        <f aca="false">ROUND(L117*(1+$M$4),2)</f>
        <v>48.83</v>
      </c>
      <c r="N117" s="42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</row>
    <row r="118" customFormat="false" ht="15" hidden="false" customHeight="false" outlineLevel="0" collapsed="false">
      <c r="A118" s="45" t="s">
        <v>370</v>
      </c>
      <c r="B118" s="50" t="s">
        <v>371</v>
      </c>
      <c r="C118" s="45" t="s">
        <v>372</v>
      </c>
      <c r="D118" s="51" t="s">
        <v>373</v>
      </c>
      <c r="E118" s="60" t="s">
        <v>14</v>
      </c>
      <c r="F118" s="61" t="n">
        <v>2</v>
      </c>
      <c r="G118" s="62" t="n">
        <v>12.53</v>
      </c>
      <c r="H118" s="62" t="n">
        <v>2.58</v>
      </c>
      <c r="I118" s="62" t="n">
        <f aca="false">G118+H118</f>
        <v>15.11</v>
      </c>
      <c r="J118" s="62" t="n">
        <f aca="false">G118*F118</f>
        <v>25.06</v>
      </c>
      <c r="K118" s="62" t="n">
        <f aca="false">H118*F118</f>
        <v>5.16</v>
      </c>
      <c r="L118" s="62" t="n">
        <f aca="false">J118+K118</f>
        <v>30.22</v>
      </c>
      <c r="M118" s="62" t="n">
        <f aca="false">ROUND(L118*(1+$M$4),2)</f>
        <v>38.08</v>
      </c>
      <c r="N118" s="42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</row>
    <row r="119" customFormat="false" ht="15" hidden="false" customHeight="false" outlineLevel="0" collapsed="false">
      <c r="A119" s="45" t="s">
        <v>374</v>
      </c>
      <c r="B119" s="50" t="s">
        <v>375</v>
      </c>
      <c r="C119" s="49" t="s">
        <v>376</v>
      </c>
      <c r="D119" s="51" t="s">
        <v>377</v>
      </c>
      <c r="E119" s="60" t="s">
        <v>14</v>
      </c>
      <c r="F119" s="61" t="n">
        <v>2</v>
      </c>
      <c r="G119" s="62" t="n">
        <v>23.88</v>
      </c>
      <c r="H119" s="62" t="n">
        <v>0</v>
      </c>
      <c r="I119" s="62" t="n">
        <f aca="false">G119+H119</f>
        <v>23.88</v>
      </c>
      <c r="J119" s="62" t="n">
        <f aca="false">G119*F119</f>
        <v>47.76</v>
      </c>
      <c r="K119" s="62" t="n">
        <f aca="false">H119*F119</f>
        <v>0</v>
      </c>
      <c r="L119" s="62" t="n">
        <f aca="false">J119+K119</f>
        <v>47.76</v>
      </c>
      <c r="M119" s="62" t="n">
        <f aca="false">ROUND(L119*(1+$M$4),2)</f>
        <v>60.19</v>
      </c>
      <c r="N119" s="42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</row>
    <row r="120" customFormat="false" ht="15" hidden="false" customHeight="false" outlineLevel="0" collapsed="false">
      <c r="A120" s="28" t="s">
        <v>378</v>
      </c>
      <c r="B120" s="29" t="s">
        <v>379</v>
      </c>
      <c r="C120" s="28"/>
      <c r="D120" s="72"/>
      <c r="E120" s="73"/>
      <c r="F120" s="74"/>
      <c r="G120" s="33"/>
      <c r="H120" s="33"/>
      <c r="I120" s="33"/>
      <c r="J120" s="33"/>
      <c r="K120" s="33"/>
      <c r="L120" s="33"/>
      <c r="M120" s="33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</row>
    <row r="121" customFormat="false" ht="15" hidden="false" customHeight="false" outlineLevel="0" collapsed="false">
      <c r="A121" s="45" t="s">
        <v>380</v>
      </c>
      <c r="B121" s="50" t="s">
        <v>381</v>
      </c>
      <c r="C121" s="45" t="s">
        <v>382</v>
      </c>
      <c r="D121" s="51" t="s">
        <v>383</v>
      </c>
      <c r="E121" s="60" t="s">
        <v>14</v>
      </c>
      <c r="F121" s="61" t="n">
        <v>2</v>
      </c>
      <c r="G121" s="62" t="n">
        <v>258.61</v>
      </c>
      <c r="H121" s="62" t="n">
        <v>15.58</v>
      </c>
      <c r="I121" s="62" t="n">
        <f aca="false">G121+H121</f>
        <v>274.19</v>
      </c>
      <c r="J121" s="62" t="n">
        <f aca="false">G121*F121</f>
        <v>517.22</v>
      </c>
      <c r="K121" s="62" t="n">
        <f aca="false">H121*F121</f>
        <v>31.16</v>
      </c>
      <c r="L121" s="62" t="n">
        <f aca="false">J121+K121</f>
        <v>548.38</v>
      </c>
      <c r="M121" s="62" t="n">
        <f aca="false">ROUND(L121*(1+$M$4),2)</f>
        <v>691.07</v>
      </c>
      <c r="N121" s="42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</row>
    <row r="122" customFormat="false" ht="15" hidden="false" customHeight="false" outlineLevel="0" collapsed="false">
      <c r="A122" s="45" t="s">
        <v>384</v>
      </c>
      <c r="B122" s="50" t="s">
        <v>385</v>
      </c>
      <c r="C122" s="45" t="s">
        <v>386</v>
      </c>
      <c r="D122" s="51" t="s">
        <v>387</v>
      </c>
      <c r="E122" s="60" t="s">
        <v>14</v>
      </c>
      <c r="F122" s="61" t="n">
        <v>2</v>
      </c>
      <c r="G122" s="62" t="n">
        <v>200.668</v>
      </c>
      <c r="H122" s="62" t="n">
        <v>23.86</v>
      </c>
      <c r="I122" s="62" t="n">
        <f aca="false">G122+H122</f>
        <v>224.528</v>
      </c>
      <c r="J122" s="62" t="n">
        <f aca="false">G122*F122</f>
        <v>401.336</v>
      </c>
      <c r="K122" s="62" t="n">
        <f aca="false">H122*F122</f>
        <v>47.72</v>
      </c>
      <c r="L122" s="62" t="n">
        <f aca="false">J122+K122</f>
        <v>449.056</v>
      </c>
      <c r="M122" s="62" t="n">
        <f aca="false">ROUND(L122*(1+$M$4),2)</f>
        <v>565.9</v>
      </c>
      <c r="N122" s="42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</row>
    <row r="123" customFormat="false" ht="15" hidden="false" customHeight="false" outlineLevel="0" collapsed="false">
      <c r="A123" s="45" t="s">
        <v>388</v>
      </c>
      <c r="B123" s="50" t="s">
        <v>389</v>
      </c>
      <c r="C123" s="45" t="s">
        <v>390</v>
      </c>
      <c r="D123" s="51" t="s">
        <v>391</v>
      </c>
      <c r="E123" s="60" t="s">
        <v>14</v>
      </c>
      <c r="F123" s="61" t="n">
        <v>6</v>
      </c>
      <c r="G123" s="62" t="n">
        <v>270.69</v>
      </c>
      <c r="H123" s="62" t="n">
        <v>24.31</v>
      </c>
      <c r="I123" s="62" t="n">
        <f aca="false">G123+H123</f>
        <v>295</v>
      </c>
      <c r="J123" s="62" t="n">
        <f aca="false">G123*F123</f>
        <v>1624.14</v>
      </c>
      <c r="K123" s="62" t="n">
        <f aca="false">H123*F123</f>
        <v>145.86</v>
      </c>
      <c r="L123" s="62" t="n">
        <f aca="false">J123+K123</f>
        <v>1770</v>
      </c>
      <c r="M123" s="62" t="n">
        <f aca="false">ROUND(L123*(1+$M$4),2)</f>
        <v>2230.55</v>
      </c>
      <c r="N123" s="42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</row>
    <row r="124" customFormat="false" ht="15" hidden="false" customHeight="false" outlineLevel="0" collapsed="false">
      <c r="A124" s="45" t="s">
        <v>392</v>
      </c>
      <c r="B124" s="50" t="s">
        <v>393</v>
      </c>
      <c r="C124" s="45" t="s">
        <v>394</v>
      </c>
      <c r="D124" s="51" t="s">
        <v>395</v>
      </c>
      <c r="E124" s="60" t="s">
        <v>14</v>
      </c>
      <c r="F124" s="61" t="n">
        <v>2</v>
      </c>
      <c r="G124" s="62" t="n">
        <v>289.95</v>
      </c>
      <c r="H124" s="62" t="n">
        <v>24.31</v>
      </c>
      <c r="I124" s="62" t="n">
        <f aca="false">G124+H124</f>
        <v>314.26</v>
      </c>
      <c r="J124" s="62" t="n">
        <f aca="false">G124*F124</f>
        <v>579.9</v>
      </c>
      <c r="K124" s="62" t="n">
        <f aca="false">H124*F124</f>
        <v>48.62</v>
      </c>
      <c r="L124" s="62" t="n">
        <f aca="false">J124+K124</f>
        <v>628.52</v>
      </c>
      <c r="M124" s="62" t="n">
        <f aca="false">ROUND(L124*(1+$M$4),2)</f>
        <v>792.06</v>
      </c>
      <c r="N124" s="42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</row>
    <row r="125" customFormat="false" ht="15" hidden="false" customHeight="false" outlineLevel="0" collapsed="false">
      <c r="A125" s="45" t="s">
        <v>396</v>
      </c>
      <c r="B125" s="50" t="s">
        <v>397</v>
      </c>
      <c r="C125" s="45" t="s">
        <v>398</v>
      </c>
      <c r="D125" s="51" t="s">
        <v>399</v>
      </c>
      <c r="E125" s="60" t="s">
        <v>14</v>
      </c>
      <c r="F125" s="61" t="n">
        <v>4</v>
      </c>
      <c r="G125" s="62" t="n">
        <v>302.84</v>
      </c>
      <c r="H125" s="62" t="n">
        <v>24.31</v>
      </c>
      <c r="I125" s="62" t="n">
        <f aca="false">G125+H125</f>
        <v>327.15</v>
      </c>
      <c r="J125" s="62" t="n">
        <f aca="false">G125*F125</f>
        <v>1211.36</v>
      </c>
      <c r="K125" s="62" t="n">
        <f aca="false">H125*F125</f>
        <v>97.24</v>
      </c>
      <c r="L125" s="62" t="n">
        <f aca="false">J125+K125</f>
        <v>1308.6</v>
      </c>
      <c r="M125" s="62" t="n">
        <f aca="false">ROUND(L125*(1+$M$4),2)</f>
        <v>1649.1</v>
      </c>
      <c r="N125" s="42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</row>
    <row r="126" customFormat="false" ht="15" hidden="false" customHeight="false" outlineLevel="0" collapsed="false">
      <c r="A126" s="45" t="s">
        <v>400</v>
      </c>
      <c r="B126" s="50" t="s">
        <v>401</v>
      </c>
      <c r="C126" s="45" t="s">
        <v>402</v>
      </c>
      <c r="D126" s="51" t="s">
        <v>403</v>
      </c>
      <c r="E126" s="60" t="s">
        <v>14</v>
      </c>
      <c r="F126" s="61" t="n">
        <v>2</v>
      </c>
      <c r="G126" s="62" t="n">
        <v>44.97</v>
      </c>
      <c r="H126" s="62" t="n">
        <v>8.1</v>
      </c>
      <c r="I126" s="62" t="n">
        <f aca="false">G126+H126</f>
        <v>53.07</v>
      </c>
      <c r="J126" s="62" t="n">
        <f aca="false">G126*F126</f>
        <v>89.94</v>
      </c>
      <c r="K126" s="62" t="n">
        <f aca="false">H126*F126</f>
        <v>16.2</v>
      </c>
      <c r="L126" s="62" t="n">
        <f aca="false">J126+K126</f>
        <v>106.14</v>
      </c>
      <c r="M126" s="62" t="n">
        <f aca="false">ROUND(L126*(1+$M$4),2)</f>
        <v>133.76</v>
      </c>
      <c r="N126" s="42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</row>
    <row r="127" customFormat="false" ht="15" hidden="false" customHeight="false" outlineLevel="0" collapsed="false">
      <c r="A127" s="45" t="s">
        <v>404</v>
      </c>
      <c r="B127" s="50" t="s">
        <v>405</v>
      </c>
      <c r="C127" s="45" t="s">
        <v>406</v>
      </c>
      <c r="D127" s="51" t="s">
        <v>407</v>
      </c>
      <c r="E127" s="60" t="s">
        <v>14</v>
      </c>
      <c r="F127" s="61" t="n">
        <v>2</v>
      </c>
      <c r="G127" s="62" t="n">
        <v>39.26</v>
      </c>
      <c r="H127" s="62" t="n">
        <v>3.92</v>
      </c>
      <c r="I127" s="62" t="n">
        <f aca="false">G127+H127</f>
        <v>43.18</v>
      </c>
      <c r="J127" s="62" t="n">
        <f aca="false">G127*F127</f>
        <v>78.52</v>
      </c>
      <c r="K127" s="62" t="n">
        <f aca="false">H127*F127</f>
        <v>7.84</v>
      </c>
      <c r="L127" s="62" t="n">
        <f aca="false">J127+K127</f>
        <v>86.36</v>
      </c>
      <c r="M127" s="62" t="n">
        <f aca="false">ROUND(L127*(1+$M$4),2)</f>
        <v>108.83</v>
      </c>
      <c r="N127" s="42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</row>
    <row r="128" customFormat="false" ht="15" hidden="false" customHeight="false" outlineLevel="0" collapsed="false">
      <c r="A128" s="45" t="s">
        <v>408</v>
      </c>
      <c r="B128" s="50" t="s">
        <v>409</v>
      </c>
      <c r="C128" s="49" t="s">
        <v>410</v>
      </c>
      <c r="D128" s="51" t="s">
        <v>411</v>
      </c>
      <c r="E128" s="60" t="s">
        <v>14</v>
      </c>
      <c r="F128" s="61" t="n">
        <v>2</v>
      </c>
      <c r="G128" s="62" t="n">
        <f aca="false">COMPOSIÇÕES!H48</f>
        <v>46.708726</v>
      </c>
      <c r="H128" s="62" t="n">
        <f aca="false">COMPOSIÇÕES!I48</f>
        <v>8.109774</v>
      </c>
      <c r="I128" s="62" t="n">
        <f aca="false">G128+H128</f>
        <v>54.8185</v>
      </c>
      <c r="J128" s="62" t="n">
        <f aca="false">G128*F128</f>
        <v>93.417452</v>
      </c>
      <c r="K128" s="62" t="n">
        <f aca="false">H128*F128</f>
        <v>16.219548</v>
      </c>
      <c r="L128" s="62" t="n">
        <f aca="false">J128+K128</f>
        <v>109.637</v>
      </c>
      <c r="M128" s="62" t="n">
        <f aca="false">ROUND(L128*(1+$M$4),2)</f>
        <v>138.16</v>
      </c>
      <c r="N128" s="42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</row>
    <row r="129" customFormat="false" ht="15" hidden="false" customHeight="false" outlineLevel="0" collapsed="false">
      <c r="A129" s="45" t="s">
        <v>412</v>
      </c>
      <c r="B129" s="50" t="s">
        <v>413</v>
      </c>
      <c r="C129" s="45" t="s">
        <v>414</v>
      </c>
      <c r="D129" s="51" t="s">
        <v>415</v>
      </c>
      <c r="E129" s="60" t="s">
        <v>14</v>
      </c>
      <c r="F129" s="61" t="n">
        <v>2</v>
      </c>
      <c r="G129" s="62" t="n">
        <f aca="false">COMPOSIÇÕES!H55</f>
        <v>46.708726</v>
      </c>
      <c r="H129" s="62" t="n">
        <f aca="false">COMPOSIÇÕES!I55</f>
        <v>8.109774</v>
      </c>
      <c r="I129" s="62" t="n">
        <f aca="false">G129+H129</f>
        <v>54.8185</v>
      </c>
      <c r="J129" s="62" t="n">
        <f aca="false">G129*F129</f>
        <v>93.417452</v>
      </c>
      <c r="K129" s="62" t="n">
        <f aca="false">H129*F129</f>
        <v>16.219548</v>
      </c>
      <c r="L129" s="62" t="n">
        <f aca="false">J129+K129</f>
        <v>109.637</v>
      </c>
      <c r="M129" s="62" t="n">
        <f aca="false">ROUND(L129*(1+$M$4),2)</f>
        <v>138.16</v>
      </c>
      <c r="N129" s="42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</row>
    <row r="130" customFormat="false" ht="15" hidden="false" customHeight="false" outlineLevel="0" collapsed="false">
      <c r="A130" s="45" t="s">
        <v>416</v>
      </c>
      <c r="B130" s="50" t="s">
        <v>417</v>
      </c>
      <c r="C130" s="45" t="s">
        <v>418</v>
      </c>
      <c r="D130" s="51" t="s">
        <v>419</v>
      </c>
      <c r="E130" s="60" t="s">
        <v>150</v>
      </c>
      <c r="F130" s="61" t="n">
        <f aca="false">(0.5*0.8)*2</f>
        <v>0.8</v>
      </c>
      <c r="G130" s="62" t="n">
        <v>508.75</v>
      </c>
      <c r="H130" s="62" t="n">
        <f aca="false">I130-G130</f>
        <v>8.86000000000001</v>
      </c>
      <c r="I130" s="62" t="n">
        <v>517.61</v>
      </c>
      <c r="J130" s="62" t="n">
        <f aca="false">G130*F130</f>
        <v>407</v>
      </c>
      <c r="K130" s="62" t="n">
        <f aca="false">H130*F130</f>
        <v>7.08800000000001</v>
      </c>
      <c r="L130" s="62" t="n">
        <f aca="false">J130+K130</f>
        <v>414.088</v>
      </c>
      <c r="M130" s="62" t="n">
        <f aca="false">ROUND(L130*(1+$M$4),2)</f>
        <v>521.83</v>
      </c>
      <c r="N130" s="42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</row>
    <row r="131" customFormat="false" ht="15" hidden="false" customHeight="false" outlineLevel="0" collapsed="false">
      <c r="A131" s="45"/>
      <c r="B131" s="50"/>
      <c r="C131" s="45"/>
      <c r="D131" s="51"/>
      <c r="E131" s="60"/>
      <c r="F131" s="61"/>
      <c r="G131" s="62"/>
      <c r="H131" s="62"/>
      <c r="I131" s="62"/>
      <c r="J131" s="62"/>
      <c r="K131" s="62"/>
      <c r="L131" s="62"/>
      <c r="M131" s="62"/>
      <c r="N131" s="42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</row>
    <row r="132" customFormat="false" ht="15" hidden="false" customHeight="false" outlineLevel="0" collapsed="false">
      <c r="A132" s="28" t="s">
        <v>420</v>
      </c>
      <c r="B132" s="29" t="s">
        <v>421</v>
      </c>
      <c r="C132" s="28"/>
      <c r="D132" s="72"/>
      <c r="E132" s="73"/>
      <c r="F132" s="74"/>
      <c r="G132" s="33"/>
      <c r="H132" s="33"/>
      <c r="I132" s="33"/>
      <c r="J132" s="33" t="n">
        <f aca="false">SUM(J133:J146)</f>
        <v>7913.791176</v>
      </c>
      <c r="K132" s="33" t="n">
        <f aca="false">SUM(K133:K146)</f>
        <v>4807.376014</v>
      </c>
      <c r="L132" s="33" t="n">
        <f aca="false">SUM(L133:L146)</f>
        <v>12721.16719</v>
      </c>
      <c r="M132" s="33" t="n">
        <f aca="false">SUM(M133:M146)</f>
        <v>16031.24</v>
      </c>
      <c r="N132" s="82" t="n">
        <f aca="false">M132</f>
        <v>16031.24</v>
      </c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81"/>
      <c r="AL132" s="81"/>
      <c r="AM132" s="81"/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</row>
    <row r="133" customFormat="false" ht="15" hidden="false" customHeight="false" outlineLevel="0" collapsed="false">
      <c r="A133" s="83" t="s">
        <v>422</v>
      </c>
      <c r="B133" s="84" t="s">
        <v>423</v>
      </c>
      <c r="C133" s="85" t="s">
        <v>424</v>
      </c>
      <c r="D133" s="86" t="s">
        <v>425</v>
      </c>
      <c r="E133" s="87" t="s">
        <v>34</v>
      </c>
      <c r="F133" s="88" t="n">
        <v>20</v>
      </c>
      <c r="G133" s="89" t="n">
        <v>0.9</v>
      </c>
      <c r="H133" s="89" t="n">
        <v>2.22</v>
      </c>
      <c r="I133" s="89" t="n">
        <f aca="false">SUM(G133:H133)</f>
        <v>3.12</v>
      </c>
      <c r="J133" s="89" t="n">
        <f aca="false">G133*F133</f>
        <v>18</v>
      </c>
      <c r="K133" s="89" t="n">
        <f aca="false">H133*F133</f>
        <v>44.4</v>
      </c>
      <c r="L133" s="89" t="n">
        <f aca="false">I133*F133</f>
        <v>62.4</v>
      </c>
      <c r="M133" s="89" t="n">
        <f aca="false">ROUND(L133*(1+$M$4),2)</f>
        <v>78.64</v>
      </c>
      <c r="N133" s="90"/>
      <c r="O133" s="90"/>
      <c r="P133" s="90"/>
      <c r="Q133" s="90"/>
      <c r="R133" s="90"/>
      <c r="S133" s="91" t="n">
        <f aca="false">F133</f>
        <v>20</v>
      </c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</row>
    <row r="134" customFormat="false" ht="15" hidden="false" customHeight="false" outlineLevel="0" collapsed="false">
      <c r="A134" s="83" t="s">
        <v>426</v>
      </c>
      <c r="B134" s="50" t="s">
        <v>427</v>
      </c>
      <c r="C134" s="45" t="s">
        <v>428</v>
      </c>
      <c r="D134" s="51" t="s">
        <v>429</v>
      </c>
      <c r="E134" s="60" t="s">
        <v>150</v>
      </c>
      <c r="F134" s="61" t="n">
        <f aca="false">F133</f>
        <v>20</v>
      </c>
      <c r="G134" s="62" t="n">
        <v>0.94</v>
      </c>
      <c r="H134" s="62" t="n">
        <v>0.22</v>
      </c>
      <c r="I134" s="89" t="n">
        <f aca="false">SUM(G134:H134)</f>
        <v>1.16</v>
      </c>
      <c r="J134" s="89" t="n">
        <f aca="false">G134*F134</f>
        <v>18.8</v>
      </c>
      <c r="K134" s="89" t="n">
        <f aca="false">H134*F134</f>
        <v>4.4</v>
      </c>
      <c r="L134" s="89" t="n">
        <f aca="false">I134*F134</f>
        <v>23.2</v>
      </c>
      <c r="M134" s="89" t="n">
        <f aca="false">ROUND(L134*(1+$M$4),2)</f>
        <v>29.24</v>
      </c>
      <c r="N134" s="42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</row>
    <row r="135" customFormat="false" ht="15" hidden="false" customHeight="false" outlineLevel="0" collapsed="false">
      <c r="A135" s="83" t="s">
        <v>430</v>
      </c>
      <c r="B135" s="50" t="s">
        <v>431</v>
      </c>
      <c r="C135" s="45" t="s">
        <v>432</v>
      </c>
      <c r="D135" s="51" t="s">
        <v>433</v>
      </c>
      <c r="E135" s="60" t="s">
        <v>150</v>
      </c>
      <c r="F135" s="61" t="n">
        <f aca="false">0.25</f>
        <v>0.25</v>
      </c>
      <c r="G135" s="62" t="n">
        <v>500.76</v>
      </c>
      <c r="H135" s="62" t="n">
        <v>226.89</v>
      </c>
      <c r="I135" s="89" t="n">
        <f aca="false">SUM(G135:H135)</f>
        <v>727.65</v>
      </c>
      <c r="J135" s="89" t="n">
        <f aca="false">G135*F135</f>
        <v>125.19</v>
      </c>
      <c r="K135" s="89" t="n">
        <f aca="false">H135*F135</f>
        <v>56.7225</v>
      </c>
      <c r="L135" s="89" t="n">
        <f aca="false">I135*F135</f>
        <v>181.9125</v>
      </c>
      <c r="M135" s="89" t="n">
        <f aca="false">ROUND(L135*(1+$M$4),2)</f>
        <v>229.25</v>
      </c>
      <c r="N135" s="42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</row>
    <row r="136" customFormat="false" ht="15" hidden="false" customHeight="false" outlineLevel="0" collapsed="false">
      <c r="A136" s="83" t="s">
        <v>434</v>
      </c>
      <c r="B136" s="84" t="s">
        <v>435</v>
      </c>
      <c r="C136" s="85" t="s">
        <v>436</v>
      </c>
      <c r="D136" s="86" t="s">
        <v>437</v>
      </c>
      <c r="E136" s="87" t="s">
        <v>328</v>
      </c>
      <c r="F136" s="88" t="n">
        <f aca="false">16*0.16*0.25</f>
        <v>0.64</v>
      </c>
      <c r="G136" s="89" t="n">
        <v>36.62</v>
      </c>
      <c r="H136" s="89" t="n">
        <v>92.15</v>
      </c>
      <c r="I136" s="89" t="n">
        <f aca="false">SUM(G136:H136)</f>
        <v>128.77</v>
      </c>
      <c r="J136" s="89" t="n">
        <f aca="false">G136*F136</f>
        <v>23.4368</v>
      </c>
      <c r="K136" s="89" t="n">
        <f aca="false">H136*F136</f>
        <v>58.976</v>
      </c>
      <c r="L136" s="89" t="n">
        <f aca="false">I136*F136</f>
        <v>82.4128</v>
      </c>
      <c r="M136" s="89" t="n">
        <f aca="false">ROUND(L136*(1+$M$4),2)</f>
        <v>103.86</v>
      </c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</row>
    <row r="137" customFormat="false" ht="15" hidden="false" customHeight="false" outlineLevel="0" collapsed="false">
      <c r="A137" s="83" t="s">
        <v>438</v>
      </c>
      <c r="B137" s="84" t="s">
        <v>439</v>
      </c>
      <c r="C137" s="85" t="s">
        <v>440</v>
      </c>
      <c r="D137" s="86" t="s">
        <v>441</v>
      </c>
      <c r="E137" s="87" t="s">
        <v>150</v>
      </c>
      <c r="F137" s="88" t="n">
        <f aca="false">(16*0.3)*2</f>
        <v>9.6</v>
      </c>
      <c r="G137" s="89" t="n">
        <v>50.41</v>
      </c>
      <c r="H137" s="89" t="n">
        <v>29.92</v>
      </c>
      <c r="I137" s="89" t="n">
        <f aca="false">SUM(G137:H137)</f>
        <v>80.33</v>
      </c>
      <c r="J137" s="89" t="n">
        <f aca="false">G137*F137</f>
        <v>483.936</v>
      </c>
      <c r="K137" s="89" t="n">
        <f aca="false">H137*F137</f>
        <v>287.232</v>
      </c>
      <c r="L137" s="89" t="n">
        <f aca="false">I137*F137</f>
        <v>771.168</v>
      </c>
      <c r="M137" s="89" t="n">
        <f aca="false">ROUND(L137*(1+$M$4),2)</f>
        <v>971.83</v>
      </c>
      <c r="N137" s="90"/>
      <c r="O137" s="90"/>
      <c r="P137" s="90"/>
      <c r="Q137" s="90"/>
      <c r="R137" s="90"/>
      <c r="S137" s="91" t="n">
        <f aca="false">F137</f>
        <v>9.6</v>
      </c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</row>
    <row r="138" customFormat="false" ht="15" hidden="false" customHeight="false" outlineLevel="0" collapsed="false">
      <c r="A138" s="83" t="s">
        <v>442</v>
      </c>
      <c r="B138" s="84" t="s">
        <v>443</v>
      </c>
      <c r="C138" s="85" t="s">
        <v>444</v>
      </c>
      <c r="D138" s="86" t="s">
        <v>445</v>
      </c>
      <c r="E138" s="87" t="s">
        <v>446</v>
      </c>
      <c r="F138" s="88" t="n">
        <v>7.7</v>
      </c>
      <c r="G138" s="89" t="n">
        <v>12.35</v>
      </c>
      <c r="H138" s="89" t="n">
        <v>4.63</v>
      </c>
      <c r="I138" s="89" t="n">
        <f aca="false">SUM(G138:H138)</f>
        <v>16.98</v>
      </c>
      <c r="J138" s="89" t="n">
        <f aca="false">G138*F138</f>
        <v>95.095</v>
      </c>
      <c r="K138" s="89" t="n">
        <f aca="false">H138*F138</f>
        <v>35.651</v>
      </c>
      <c r="L138" s="89" t="n">
        <f aca="false">I138*F138</f>
        <v>130.746</v>
      </c>
      <c r="M138" s="89" t="n">
        <f aca="false">ROUND(L138*(1+$M$4),2)</f>
        <v>164.77</v>
      </c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</row>
    <row r="139" customFormat="false" ht="15" hidden="false" customHeight="false" outlineLevel="0" collapsed="false">
      <c r="A139" s="83" t="s">
        <v>447</v>
      </c>
      <c r="B139" s="84" t="s">
        <v>443</v>
      </c>
      <c r="C139" s="85" t="s">
        <v>448</v>
      </c>
      <c r="D139" s="86" t="s">
        <v>449</v>
      </c>
      <c r="E139" s="87" t="s">
        <v>446</v>
      </c>
      <c r="F139" s="88" t="n">
        <v>8.7</v>
      </c>
      <c r="G139" s="89" t="n">
        <v>12.45</v>
      </c>
      <c r="H139" s="89" t="n">
        <v>2.54</v>
      </c>
      <c r="I139" s="89" t="n">
        <f aca="false">SUM(G139:H139)</f>
        <v>14.99</v>
      </c>
      <c r="J139" s="89" t="n">
        <f aca="false">G139*F139</f>
        <v>108.315</v>
      </c>
      <c r="K139" s="89" t="n">
        <f aca="false">H139*F139</f>
        <v>22.098</v>
      </c>
      <c r="L139" s="89" t="n">
        <f aca="false">I139*F139</f>
        <v>130.413</v>
      </c>
      <c r="M139" s="89" t="n">
        <f aca="false">ROUND(L139*(1+$M$4),2)</f>
        <v>164.35</v>
      </c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</row>
    <row r="140" customFormat="false" ht="15" hidden="false" customHeight="false" outlineLevel="0" collapsed="false">
      <c r="A140" s="83" t="s">
        <v>450</v>
      </c>
      <c r="B140" s="92" t="s">
        <v>443</v>
      </c>
      <c r="C140" s="93" t="s">
        <v>451</v>
      </c>
      <c r="D140" s="94" t="s">
        <v>452</v>
      </c>
      <c r="E140" s="95" t="s">
        <v>446</v>
      </c>
      <c r="F140" s="96" t="n">
        <v>13.9</v>
      </c>
      <c r="G140" s="97" t="n">
        <v>12.58</v>
      </c>
      <c r="H140" s="97" t="n">
        <v>1.66</v>
      </c>
      <c r="I140" s="97" t="n">
        <f aca="false">SUM(G140:H140)</f>
        <v>14.24</v>
      </c>
      <c r="J140" s="97" t="n">
        <f aca="false">G140*F140</f>
        <v>174.862</v>
      </c>
      <c r="K140" s="97" t="n">
        <f aca="false">H140*F140</f>
        <v>23.074</v>
      </c>
      <c r="L140" s="97" t="n">
        <f aca="false">I140*F140</f>
        <v>197.936</v>
      </c>
      <c r="M140" s="97" t="n">
        <f aca="false">ROUND(L140*(1+$M$4),2)</f>
        <v>249.44</v>
      </c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</row>
    <row r="141" customFormat="false" ht="15" hidden="false" customHeight="false" outlineLevel="0" collapsed="false">
      <c r="A141" s="83" t="s">
        <v>453</v>
      </c>
      <c r="B141" s="84" t="s">
        <v>454</v>
      </c>
      <c r="C141" s="85" t="n">
        <v>94971</v>
      </c>
      <c r="D141" s="86" t="s">
        <v>455</v>
      </c>
      <c r="E141" s="87" t="s">
        <v>328</v>
      </c>
      <c r="F141" s="88" t="n">
        <f aca="false">16*0.4*0.15</f>
        <v>0.96</v>
      </c>
      <c r="G141" s="89" t="n">
        <v>361</v>
      </c>
      <c r="H141" s="89" t="n">
        <v>48.35</v>
      </c>
      <c r="I141" s="89" t="n">
        <f aca="false">SUM(G141:H141)</f>
        <v>409.35</v>
      </c>
      <c r="J141" s="89" t="n">
        <f aca="false">G141*F141</f>
        <v>346.56</v>
      </c>
      <c r="K141" s="89" t="n">
        <f aca="false">H141*F141</f>
        <v>46.416</v>
      </c>
      <c r="L141" s="89" t="n">
        <f aca="false">I141*F141</f>
        <v>392.976</v>
      </c>
      <c r="M141" s="89" t="n">
        <f aca="false">ROUND(L141*(1+$M$4),2)</f>
        <v>495.23</v>
      </c>
      <c r="N141" s="90"/>
      <c r="O141" s="90"/>
      <c r="P141" s="90"/>
      <c r="Q141" s="90"/>
      <c r="R141" s="90"/>
      <c r="S141" s="91" t="n">
        <f aca="false">F141</f>
        <v>0.96</v>
      </c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</row>
    <row r="142" customFormat="false" ht="15" hidden="false" customHeight="false" outlineLevel="0" collapsed="false">
      <c r="A142" s="83" t="s">
        <v>456</v>
      </c>
      <c r="B142" s="84" t="s">
        <v>457</v>
      </c>
      <c r="C142" s="85" t="s">
        <v>458</v>
      </c>
      <c r="D142" s="86" t="s">
        <v>459</v>
      </c>
      <c r="E142" s="87" t="s">
        <v>150</v>
      </c>
      <c r="F142" s="88" t="n">
        <f aca="false">16*2*0.3</f>
        <v>9.6</v>
      </c>
      <c r="G142" s="89" t="n">
        <v>19.02</v>
      </c>
      <c r="H142" s="89" t="n">
        <v>22.86</v>
      </c>
      <c r="I142" s="89" t="n">
        <f aca="false">SUM(G142:H142)</f>
        <v>41.88</v>
      </c>
      <c r="J142" s="89" t="n">
        <f aca="false">G142*F142</f>
        <v>182.592</v>
      </c>
      <c r="K142" s="89" t="n">
        <f aca="false">H142*F142</f>
        <v>219.456</v>
      </c>
      <c r="L142" s="89" t="n">
        <f aca="false">I142*F142</f>
        <v>402.048</v>
      </c>
      <c r="M142" s="89" t="n">
        <f aca="false">ROUND(L142*(1+$M$4),2)</f>
        <v>506.66</v>
      </c>
      <c r="N142" s="90"/>
      <c r="O142" s="90"/>
      <c r="P142" s="90"/>
      <c r="Q142" s="90"/>
      <c r="R142" s="90"/>
      <c r="S142" s="91" t="n">
        <f aca="false">F142</f>
        <v>9.6</v>
      </c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</row>
    <row r="143" customFormat="false" ht="15" hidden="false" customHeight="false" outlineLevel="0" collapsed="false">
      <c r="A143" s="83" t="s">
        <v>460</v>
      </c>
      <c r="B143" s="84" t="s">
        <v>461</v>
      </c>
      <c r="C143" s="85" t="s">
        <v>462</v>
      </c>
      <c r="D143" s="86" t="s">
        <v>463</v>
      </c>
      <c r="E143" s="87" t="s">
        <v>29</v>
      </c>
      <c r="F143" s="88" t="n">
        <v>2</v>
      </c>
      <c r="G143" s="89" t="n">
        <v>55.29</v>
      </c>
      <c r="H143" s="89" t="n">
        <v>4.86</v>
      </c>
      <c r="I143" s="89" t="n">
        <f aca="false">SUM(G143:H143)</f>
        <v>60.15</v>
      </c>
      <c r="J143" s="89" t="n">
        <f aca="false">G143*F143</f>
        <v>110.58</v>
      </c>
      <c r="K143" s="89" t="n">
        <f aca="false">H143*F143</f>
        <v>9.72</v>
      </c>
      <c r="L143" s="89" t="n">
        <f aca="false">I143*F143</f>
        <v>120.3</v>
      </c>
      <c r="M143" s="89" t="n">
        <f aca="false">ROUND(L143*(1+$M$4),2)</f>
        <v>151.6</v>
      </c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</row>
    <row r="144" customFormat="false" ht="15" hidden="false" customHeight="false" outlineLevel="0" collapsed="false">
      <c r="A144" s="83" t="s">
        <v>464</v>
      </c>
      <c r="B144" s="50" t="s">
        <v>465</v>
      </c>
      <c r="C144" s="45" t="s">
        <v>432</v>
      </c>
      <c r="D144" s="51" t="s">
        <v>433</v>
      </c>
      <c r="E144" s="60" t="s">
        <v>328</v>
      </c>
      <c r="F144" s="61" t="n">
        <f aca="false">((8.53+4.68)*0.06)+0.15</f>
        <v>0.9426</v>
      </c>
      <c r="G144" s="62" t="n">
        <v>500.76</v>
      </c>
      <c r="H144" s="62" t="n">
        <v>226.89</v>
      </c>
      <c r="I144" s="89" t="n">
        <f aca="false">SUM(G144:H144)</f>
        <v>727.65</v>
      </c>
      <c r="J144" s="89" t="n">
        <f aca="false">G144*F144</f>
        <v>472.016376</v>
      </c>
      <c r="K144" s="89" t="n">
        <f aca="false">H144*F144</f>
        <v>213.866514</v>
      </c>
      <c r="L144" s="89" t="n">
        <f aca="false">I144*F144</f>
        <v>685.88289</v>
      </c>
      <c r="M144" s="89" t="n">
        <f aca="false">ROUND(L144*(1+$M$4),2)</f>
        <v>864.35</v>
      </c>
      <c r="N144" s="42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</row>
    <row r="145" customFormat="false" ht="15" hidden="false" customHeight="false" outlineLevel="0" collapsed="false">
      <c r="A145" s="83" t="s">
        <v>466</v>
      </c>
      <c r="B145" s="84" t="s">
        <v>467</v>
      </c>
      <c r="C145" s="85" t="s">
        <v>468</v>
      </c>
      <c r="D145" s="86" t="s">
        <v>469</v>
      </c>
      <c r="E145" s="87" t="s">
        <v>216</v>
      </c>
      <c r="F145" s="88" t="n">
        <v>13.2</v>
      </c>
      <c r="G145" s="89" t="n">
        <v>344.34</v>
      </c>
      <c r="H145" s="89" t="n">
        <v>196.35</v>
      </c>
      <c r="I145" s="89" t="n">
        <f aca="false">SUM(G145:H145)</f>
        <v>540.69</v>
      </c>
      <c r="J145" s="89" t="n">
        <f aca="false">G145*F145</f>
        <v>4545.288</v>
      </c>
      <c r="K145" s="89" t="n">
        <f aca="false">H145*F145</f>
        <v>2591.82</v>
      </c>
      <c r="L145" s="89" t="n">
        <f aca="false">I145*F145</f>
        <v>7137.108</v>
      </c>
      <c r="M145" s="89" t="n">
        <f aca="false">ROUND(L145*(1+$M$4),2)</f>
        <v>8994.18</v>
      </c>
      <c r="N145" s="98"/>
      <c r="O145" s="90"/>
      <c r="P145" s="90"/>
      <c r="Q145" s="90"/>
      <c r="R145" s="90"/>
      <c r="S145" s="99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</row>
    <row r="146" customFormat="false" ht="15" hidden="false" customHeight="false" outlineLevel="0" collapsed="false">
      <c r="A146" s="83" t="s">
        <v>470</v>
      </c>
      <c r="B146" s="84" t="s">
        <v>471</v>
      </c>
      <c r="C146" s="85" t="s">
        <v>472</v>
      </c>
      <c r="D146" s="86" t="s">
        <v>473</v>
      </c>
      <c r="E146" s="87" t="s">
        <v>216</v>
      </c>
      <c r="F146" s="88" t="n">
        <f aca="false">F145*2</f>
        <v>26.4</v>
      </c>
      <c r="G146" s="89" t="n">
        <v>45.8</v>
      </c>
      <c r="H146" s="89" t="n">
        <v>45.21</v>
      </c>
      <c r="I146" s="89" t="n">
        <f aca="false">SUM(G146:H146)</f>
        <v>91.01</v>
      </c>
      <c r="J146" s="89" t="n">
        <f aca="false">G146*F146</f>
        <v>1209.12</v>
      </c>
      <c r="K146" s="89" t="n">
        <f aca="false">H146*F146</f>
        <v>1193.544</v>
      </c>
      <c r="L146" s="89" t="n">
        <f aca="false">I146*F146</f>
        <v>2402.664</v>
      </c>
      <c r="M146" s="89" t="n">
        <f aca="false">ROUND(L146*(1+$M$4),2)</f>
        <v>3027.84</v>
      </c>
      <c r="N146" s="98"/>
      <c r="O146" s="90"/>
      <c r="P146" s="90"/>
      <c r="Q146" s="90"/>
      <c r="R146" s="90"/>
      <c r="S146" s="99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</row>
    <row r="147" customFormat="false" ht="15" hidden="false" customHeight="false" outlineLevel="0" collapsed="false">
      <c r="A147" s="100"/>
      <c r="B147" s="101"/>
      <c r="C147" s="83"/>
      <c r="D147" s="102"/>
      <c r="E147" s="103"/>
      <c r="F147" s="104"/>
      <c r="G147" s="105"/>
      <c r="H147" s="105"/>
      <c r="I147" s="105"/>
      <c r="J147" s="105"/>
      <c r="K147" s="105"/>
      <c r="L147" s="105"/>
      <c r="M147" s="105"/>
      <c r="N147" s="106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8"/>
      <c r="AL147" s="108"/>
      <c r="AM147" s="108"/>
      <c r="AN147" s="108"/>
      <c r="AO147" s="108"/>
      <c r="AP147" s="108"/>
      <c r="AQ147" s="108"/>
      <c r="AR147" s="108"/>
      <c r="AS147" s="108"/>
      <c r="AT147" s="108"/>
      <c r="AU147" s="108"/>
      <c r="AV147" s="108"/>
      <c r="AW147" s="108"/>
      <c r="AX147" s="108"/>
      <c r="AY147" s="108"/>
      <c r="AZ147" s="108"/>
    </row>
    <row r="148" customFormat="false" ht="15" hidden="false" customHeight="true" outlineLevel="0" collapsed="false">
      <c r="A148" s="28" t="s">
        <v>474</v>
      </c>
      <c r="B148" s="29" t="s">
        <v>475</v>
      </c>
      <c r="C148" s="29"/>
      <c r="D148" s="72"/>
      <c r="E148" s="73"/>
      <c r="F148" s="74"/>
      <c r="G148" s="33"/>
      <c r="H148" s="33"/>
      <c r="I148" s="33"/>
      <c r="J148" s="33" t="n">
        <f aca="false">SUM(J149:J154)</f>
        <v>243.2</v>
      </c>
      <c r="K148" s="33" t="n">
        <f aca="false">SUM(K149:K154)</f>
        <v>686</v>
      </c>
      <c r="L148" s="33" t="n">
        <f aca="false">SUM(L149:L154)</f>
        <v>929.2</v>
      </c>
      <c r="M148" s="33" t="n">
        <f aca="false">SUM(M149:M154)</f>
        <v>1170.97</v>
      </c>
      <c r="N148" s="109" t="n">
        <f aca="false">M148</f>
        <v>1170.97</v>
      </c>
      <c r="O148" s="109" t="n">
        <f aca="false">M148</f>
        <v>1170.97</v>
      </c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</row>
    <row r="149" customFormat="false" ht="15" hidden="false" customHeight="false" outlineLevel="0" collapsed="false">
      <c r="A149" s="45" t="s">
        <v>476</v>
      </c>
      <c r="B149" s="50" t="s">
        <v>477</v>
      </c>
      <c r="C149" s="49" t="s">
        <v>478</v>
      </c>
      <c r="D149" s="51" t="s">
        <v>479</v>
      </c>
      <c r="E149" s="60" t="s">
        <v>150</v>
      </c>
      <c r="F149" s="61" t="n">
        <v>300</v>
      </c>
      <c r="G149" s="62" t="n">
        <v>0.61</v>
      </c>
      <c r="H149" s="62" t="n">
        <v>1.46</v>
      </c>
      <c r="I149" s="62" t="n">
        <f aca="false">G149+H149</f>
        <v>2.07</v>
      </c>
      <c r="J149" s="62" t="n">
        <f aca="false">G149*F149</f>
        <v>183</v>
      </c>
      <c r="K149" s="62" t="n">
        <f aca="false">H149*F149</f>
        <v>438</v>
      </c>
      <c r="L149" s="62" t="n">
        <f aca="false">J149+K149</f>
        <v>621</v>
      </c>
      <c r="M149" s="62" t="n">
        <f aca="false">ROUND(L149*(1+$M$4),2)</f>
        <v>782.58</v>
      </c>
      <c r="N149" s="106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/>
      <c r="AY149" s="108"/>
      <c r="AZ149" s="108"/>
    </row>
    <row r="150" customFormat="false" ht="15" hidden="false" customHeight="false" outlineLevel="0" collapsed="false">
      <c r="A150" s="45" t="s">
        <v>480</v>
      </c>
      <c r="B150" s="50" t="s">
        <v>481</v>
      </c>
      <c r="C150" s="45" t="s">
        <v>482</v>
      </c>
      <c r="D150" s="51" t="s">
        <v>483</v>
      </c>
      <c r="E150" s="60" t="s">
        <v>328</v>
      </c>
      <c r="F150" s="61" t="n">
        <v>20</v>
      </c>
      <c r="G150" s="62" t="n">
        <v>3.01</v>
      </c>
      <c r="H150" s="62" t="n">
        <f aca="false">I150-G150</f>
        <v>12.4</v>
      </c>
      <c r="I150" s="62" t="n">
        <v>15.41</v>
      </c>
      <c r="J150" s="62" t="n">
        <f aca="false">G150*F150</f>
        <v>60.2</v>
      </c>
      <c r="K150" s="62" t="n">
        <f aca="false">H150*F150</f>
        <v>248</v>
      </c>
      <c r="L150" s="62" t="n">
        <f aca="false">J150+K150</f>
        <v>308.2</v>
      </c>
      <c r="M150" s="62" t="n">
        <f aca="false">ROUND(L150*(1+$M$4),2)</f>
        <v>388.39</v>
      </c>
      <c r="N150" s="106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/>
      <c r="AY150" s="108"/>
      <c r="AZ150" s="108"/>
    </row>
    <row r="151" customFormat="false" ht="15.75" hidden="false" customHeight="true" outlineLevel="0" collapsed="false">
      <c r="A151" s="100"/>
      <c r="B151" s="101"/>
      <c r="C151" s="83"/>
      <c r="D151" s="102"/>
      <c r="E151" s="103"/>
      <c r="F151" s="104"/>
      <c r="G151" s="105"/>
      <c r="H151" s="105"/>
      <c r="I151" s="105"/>
      <c r="J151" s="105"/>
      <c r="K151" s="105"/>
      <c r="L151" s="105"/>
      <c r="M151" s="105"/>
      <c r="N151" s="106"/>
      <c r="O151" s="107"/>
      <c r="P151" s="107"/>
      <c r="Q151" s="107"/>
      <c r="R151" s="107"/>
      <c r="S151" s="107"/>
      <c r="T151" s="107"/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  <c r="AF151" s="107"/>
      <c r="AG151" s="107"/>
      <c r="AH151" s="107"/>
      <c r="AI151" s="107"/>
      <c r="AJ151" s="107"/>
      <c r="AK151" s="108"/>
      <c r="AL151" s="108"/>
      <c r="AM151" s="108"/>
      <c r="AN151" s="108"/>
      <c r="AO151" s="108"/>
      <c r="AP151" s="108"/>
      <c r="AQ151" s="108"/>
      <c r="AR151" s="108"/>
      <c r="AS151" s="108"/>
      <c r="AT151" s="108"/>
      <c r="AU151" s="108"/>
      <c r="AV151" s="108"/>
      <c r="AW151" s="108"/>
      <c r="AX151" s="108"/>
      <c r="AY151" s="108"/>
      <c r="AZ151" s="108"/>
    </row>
    <row r="152" customFormat="false" ht="12.75" hidden="false" customHeight="true" outlineLevel="0" collapsed="false">
      <c r="A152" s="111"/>
      <c r="B152" s="111"/>
      <c r="C152" s="111"/>
      <c r="D152" s="111"/>
      <c r="E152" s="111"/>
      <c r="F152" s="111"/>
      <c r="G152" s="111"/>
      <c r="H152" s="111"/>
      <c r="I152" s="111"/>
      <c r="J152" s="111"/>
      <c r="K152" s="111"/>
      <c r="L152" s="111"/>
      <c r="M152" s="111"/>
      <c r="N152" s="2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</row>
    <row r="153" customFormat="false" ht="12.75" hidden="false" customHeight="true" outlineLevel="0" collapsed="false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customFormat="false" ht="12.75" hidden="false" customHeight="true" outlineLevel="0" collapsed="false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customFormat="false" ht="12.75" hidden="false" customHeight="true" outlineLevel="0" collapsed="false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customFormat="false" ht="12.75" hidden="false" customHeight="true" outlineLevel="0" collapsed="false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customFormat="false" ht="12.75" hidden="false" customHeight="true" outlineLevel="0" collapsed="false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customFormat="false" ht="12.75" hidden="false" customHeight="true" outlineLevel="0" collapsed="false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customFormat="false" ht="12.75" hidden="false" customHeight="true" outlineLevel="0" collapsed="false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customFormat="false" ht="12.75" hidden="false" customHeight="true" outlineLevel="0" collapsed="false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customFormat="false" ht="12.75" hidden="false" customHeight="true" outlineLevel="0" collapsed="false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customFormat="false" ht="12.75" hidden="false" customHeight="true" outlineLevel="0" collapsed="false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customFormat="false" ht="12.75" hidden="false" customHeight="true" outlineLevel="0" collapsed="false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customFormat="false" ht="12.75" hidden="false" customHeight="true" outlineLevel="0" collapsed="false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customFormat="false" ht="12.75" hidden="false" customHeight="true" outlineLevel="0" collapsed="false">
      <c r="A165" s="14"/>
      <c r="B165" s="14"/>
      <c r="C165" s="14"/>
      <c r="D165" s="14"/>
      <c r="E165" s="14"/>
      <c r="F165" s="14" t="s">
        <v>484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</sheetData>
  <mergeCells count="35">
    <mergeCell ref="A1:M1"/>
    <mergeCell ref="A2:M2"/>
    <mergeCell ref="A3:A9"/>
    <mergeCell ref="B3:C9"/>
    <mergeCell ref="D3:G3"/>
    <mergeCell ref="D4:G4"/>
    <mergeCell ref="D5:G5"/>
    <mergeCell ref="L5:M5"/>
    <mergeCell ref="D6:G6"/>
    <mergeCell ref="D7:G7"/>
    <mergeCell ref="O7:O8"/>
    <mergeCell ref="D8:G8"/>
    <mergeCell ref="D9:G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B13:C13"/>
    <mergeCell ref="A24:M24"/>
    <mergeCell ref="B25:C25"/>
    <mergeCell ref="B39:C39"/>
    <mergeCell ref="B45:C45"/>
    <mergeCell ref="A51:M51"/>
    <mergeCell ref="B52:C52"/>
    <mergeCell ref="B61:C61"/>
    <mergeCell ref="B71:C71"/>
    <mergeCell ref="B88:C88"/>
    <mergeCell ref="B148:C148"/>
    <mergeCell ref="A152:M15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C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4.38"/>
    <col collapsed="false" customWidth="true" hidden="false" outlineLevel="0" max="2" min="2" style="0" width="46.37"/>
    <col collapsed="false" customWidth="true" hidden="false" outlineLevel="0" max="3" min="3" style="0" width="10.5"/>
    <col collapsed="false" customWidth="true" hidden="false" outlineLevel="0" max="4" min="4" style="0" width="10"/>
    <col collapsed="false" customWidth="true" hidden="false" outlineLevel="0" max="29" min="5" style="0" width="14.38"/>
    <col collapsed="false" customWidth="true" hidden="false" outlineLevel="0" max="1025" min="30" style="0" width="12.63"/>
  </cols>
  <sheetData>
    <row r="1" customFormat="false" ht="15" hidden="false" customHeight="false" outlineLevel="0" collapsed="false">
      <c r="A1" s="112"/>
      <c r="B1" s="113"/>
      <c r="C1" s="113"/>
      <c r="D1" s="114"/>
      <c r="E1" s="114"/>
      <c r="F1" s="114"/>
      <c r="G1" s="114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</row>
    <row r="2" customFormat="false" ht="15" hidden="false" customHeight="true" outlineLevel="0" collapsed="false">
      <c r="A2" s="117"/>
      <c r="B2" s="118"/>
      <c r="C2" s="118"/>
      <c r="D2" s="6" t="s">
        <v>0</v>
      </c>
      <c r="E2" s="6"/>
      <c r="F2" s="6"/>
      <c r="G2" s="6"/>
      <c r="H2" s="115"/>
      <c r="I2" s="115"/>
      <c r="J2" s="115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</row>
    <row r="3" customFormat="false" ht="15" hidden="false" customHeight="true" outlineLevel="0" collapsed="false">
      <c r="A3" s="117"/>
      <c r="B3" s="118"/>
      <c r="C3" s="118"/>
      <c r="D3" s="8" t="s">
        <v>1</v>
      </c>
      <c r="E3" s="8"/>
      <c r="F3" s="8"/>
      <c r="G3" s="8"/>
      <c r="H3" s="115"/>
      <c r="I3" s="115"/>
      <c r="J3" s="115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</row>
    <row r="4" customFormat="false" ht="15" hidden="false" customHeight="true" outlineLevel="0" collapsed="false">
      <c r="A4" s="117"/>
      <c r="B4" s="118"/>
      <c r="C4" s="118"/>
      <c r="D4" s="11" t="s">
        <v>3</v>
      </c>
      <c r="E4" s="11"/>
      <c r="F4" s="11"/>
      <c r="G4" s="11"/>
      <c r="H4" s="115"/>
      <c r="I4" s="115"/>
      <c r="J4" s="115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</row>
    <row r="5" customFormat="false" ht="15" hidden="false" customHeight="true" outlineLevel="0" collapsed="false">
      <c r="A5" s="117"/>
      <c r="B5" s="118"/>
      <c r="C5" s="118"/>
      <c r="D5" s="13" t="s">
        <v>4</v>
      </c>
      <c r="E5" s="13"/>
      <c r="F5" s="13"/>
      <c r="G5" s="13"/>
      <c r="H5" s="115"/>
      <c r="I5" s="115"/>
      <c r="J5" s="115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</row>
    <row r="6" customFormat="false" ht="15" hidden="false" customHeight="true" outlineLevel="0" collapsed="false">
      <c r="A6" s="117"/>
      <c r="B6" s="118"/>
      <c r="C6" s="118"/>
      <c r="D6" s="8" t="s">
        <v>485</v>
      </c>
      <c r="E6" s="8"/>
      <c r="F6" s="8"/>
      <c r="G6" s="8"/>
      <c r="H6" s="115"/>
      <c r="I6" s="119"/>
      <c r="J6" s="119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</row>
    <row r="7" customFormat="false" ht="15" hidden="false" customHeight="true" outlineLevel="0" collapsed="false">
      <c r="A7" s="117"/>
      <c r="B7" s="118"/>
      <c r="C7" s="118"/>
      <c r="D7" s="18" t="s">
        <v>8</v>
      </c>
      <c r="E7" s="18"/>
      <c r="F7" s="18"/>
      <c r="G7" s="18"/>
      <c r="H7" s="115"/>
      <c r="I7" s="115"/>
      <c r="J7" s="115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</row>
    <row r="8" customFormat="false" ht="36" hidden="false" customHeight="true" outlineLevel="0" collapsed="false">
      <c r="A8" s="117"/>
      <c r="B8" s="118"/>
      <c r="C8" s="118"/>
      <c r="D8" s="20" t="s">
        <v>9</v>
      </c>
      <c r="E8" s="20"/>
      <c r="F8" s="20"/>
      <c r="G8" s="20"/>
      <c r="H8" s="115"/>
      <c r="I8" s="115"/>
      <c r="J8" s="115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</row>
    <row r="9" customFormat="false" ht="15" hidden="false" customHeight="false" outlineLevel="0" collapsed="false">
      <c r="A9" s="116"/>
      <c r="B9" s="116"/>
      <c r="C9" s="116"/>
      <c r="D9" s="116"/>
      <c r="E9" s="116"/>
      <c r="F9" s="116"/>
      <c r="G9" s="116"/>
      <c r="H9" s="115"/>
      <c r="I9" s="115"/>
      <c r="J9" s="115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</row>
    <row r="10" customFormat="false" ht="15" hidden="false" customHeight="false" outlineLevel="0" collapsed="false">
      <c r="A10" s="120" t="s">
        <v>486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</row>
    <row r="11" customFormat="false" ht="15" hidden="false" customHeight="false" outlineLevel="0" collapsed="false">
      <c r="A11" s="121"/>
      <c r="B11" s="113"/>
      <c r="C11" s="122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</row>
    <row r="12" customFormat="false" ht="15" hidden="false" customHeight="false" outlineLevel="0" collapsed="false">
      <c r="A12" s="123" t="s">
        <v>103</v>
      </c>
      <c r="B12" s="124" t="s">
        <v>487</v>
      </c>
      <c r="C12" s="125" t="s">
        <v>14</v>
      </c>
      <c r="D12" s="126"/>
      <c r="E12" s="126"/>
      <c r="F12" s="126"/>
      <c r="G12" s="126"/>
      <c r="H12" s="126"/>
      <c r="I12" s="126"/>
      <c r="J12" s="126"/>
      <c r="K12" s="127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customFormat="false" ht="15" hidden="false" customHeight="false" outlineLevel="0" collapsed="false">
      <c r="A13" s="128" t="s">
        <v>12</v>
      </c>
      <c r="B13" s="129" t="s">
        <v>10</v>
      </c>
      <c r="C13" s="129" t="s">
        <v>14</v>
      </c>
      <c r="D13" s="129" t="s">
        <v>488</v>
      </c>
      <c r="E13" s="129" t="s">
        <v>489</v>
      </c>
      <c r="F13" s="129" t="s">
        <v>20</v>
      </c>
      <c r="G13" s="129" t="s">
        <v>490</v>
      </c>
      <c r="H13" s="128"/>
      <c r="I13" s="128"/>
      <c r="J13" s="128" t="s">
        <v>491</v>
      </c>
      <c r="K13" s="127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customFormat="false" ht="15" hidden="false" customHeight="false" outlineLevel="0" collapsed="false">
      <c r="A14" s="130" t="n">
        <v>37586</v>
      </c>
      <c r="B14" s="131" t="s">
        <v>492</v>
      </c>
      <c r="C14" s="132" t="s">
        <v>493</v>
      </c>
      <c r="D14" s="133" t="n">
        <v>0.029</v>
      </c>
      <c r="E14" s="134" t="n">
        <v>46.91</v>
      </c>
      <c r="F14" s="134" t="n">
        <v>0</v>
      </c>
      <c r="G14" s="134" t="n">
        <f aca="false">E14+F14</f>
        <v>46.91</v>
      </c>
      <c r="H14" s="135" t="n">
        <f aca="false">E14*D14</f>
        <v>1.36039</v>
      </c>
      <c r="I14" s="135" t="n">
        <f aca="false">F14*D14</f>
        <v>0</v>
      </c>
      <c r="J14" s="135" t="n">
        <f aca="false">G14*D14</f>
        <v>1.36039</v>
      </c>
      <c r="K14" s="127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customFormat="false" ht="15" hidden="false" customHeight="false" outlineLevel="0" collapsed="false">
      <c r="A15" s="130" t="n">
        <v>39416</v>
      </c>
      <c r="B15" s="131" t="s">
        <v>494</v>
      </c>
      <c r="C15" s="132" t="s">
        <v>495</v>
      </c>
      <c r="D15" s="133" t="n">
        <v>2.106</v>
      </c>
      <c r="E15" s="134" t="n">
        <v>26.4</v>
      </c>
      <c r="F15" s="134" t="n">
        <v>0</v>
      </c>
      <c r="G15" s="134" t="n">
        <f aca="false">E15+F15</f>
        <v>26.4</v>
      </c>
      <c r="H15" s="135" t="n">
        <f aca="false">E15*D15</f>
        <v>55.5984</v>
      </c>
      <c r="I15" s="135" t="n">
        <f aca="false">F15*D15</f>
        <v>0</v>
      </c>
      <c r="J15" s="135" t="n">
        <f aca="false">G15*D15</f>
        <v>55.5984</v>
      </c>
      <c r="K15" s="127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customFormat="false" ht="15" hidden="false" customHeight="false" outlineLevel="0" collapsed="false">
      <c r="A16" s="130" t="n">
        <v>39419</v>
      </c>
      <c r="B16" s="131" t="s">
        <v>496</v>
      </c>
      <c r="C16" s="132" t="s">
        <v>216</v>
      </c>
      <c r="D16" s="133" t="n">
        <v>0.9093</v>
      </c>
      <c r="E16" s="134" t="n">
        <v>11.47</v>
      </c>
      <c r="F16" s="134" t="n">
        <v>0</v>
      </c>
      <c r="G16" s="134" t="n">
        <f aca="false">E16+F16</f>
        <v>11.47</v>
      </c>
      <c r="H16" s="135" t="n">
        <f aca="false">E16*D16</f>
        <v>10.429671</v>
      </c>
      <c r="I16" s="135" t="n">
        <f aca="false">F16*D16</f>
        <v>0</v>
      </c>
      <c r="J16" s="135" t="n">
        <f aca="false">G16*D16</f>
        <v>10.429671</v>
      </c>
      <c r="K16" s="12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customFormat="false" ht="15" hidden="false" customHeight="false" outlineLevel="0" collapsed="false">
      <c r="A17" s="130" t="n">
        <v>39422</v>
      </c>
      <c r="B17" s="131" t="s">
        <v>497</v>
      </c>
      <c r="C17" s="132" t="s">
        <v>216</v>
      </c>
      <c r="D17" s="133" t="n">
        <v>2.8999</v>
      </c>
      <c r="E17" s="134" t="n">
        <v>13.01</v>
      </c>
      <c r="F17" s="134" t="n">
        <v>0</v>
      </c>
      <c r="G17" s="134" t="n">
        <f aca="false">E17+F17</f>
        <v>13.01</v>
      </c>
      <c r="H17" s="135" t="n">
        <f aca="false">E17*D17</f>
        <v>37.727699</v>
      </c>
      <c r="I17" s="135" t="n">
        <f aca="false">F17*D17</f>
        <v>0</v>
      </c>
      <c r="J17" s="135" t="n">
        <f aca="false">G17*D17</f>
        <v>37.727699</v>
      </c>
      <c r="K17" s="127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customFormat="false" ht="15" hidden="false" customHeight="false" outlineLevel="0" collapsed="false">
      <c r="A18" s="130" t="n">
        <v>39431</v>
      </c>
      <c r="B18" s="131" t="s">
        <v>498</v>
      </c>
      <c r="C18" s="132" t="s">
        <v>216</v>
      </c>
      <c r="D18" s="133" t="n">
        <v>2.5027</v>
      </c>
      <c r="E18" s="134" t="n">
        <v>0.3</v>
      </c>
      <c r="F18" s="134" t="n">
        <v>0</v>
      </c>
      <c r="G18" s="134" t="n">
        <f aca="false">E18+F18</f>
        <v>0.3</v>
      </c>
      <c r="H18" s="135" t="n">
        <f aca="false">E18*D18</f>
        <v>0.75081</v>
      </c>
      <c r="I18" s="135" t="n">
        <f aca="false">F18*D18</f>
        <v>0</v>
      </c>
      <c r="J18" s="135" t="n">
        <f aca="false">G18*D18</f>
        <v>0.75081</v>
      </c>
      <c r="K18" s="127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</row>
    <row r="19" customFormat="false" ht="15" hidden="false" customHeight="false" outlineLevel="0" collapsed="false">
      <c r="A19" s="130" t="n">
        <v>39432</v>
      </c>
      <c r="B19" s="131" t="s">
        <v>499</v>
      </c>
      <c r="C19" s="132" t="s">
        <v>216</v>
      </c>
      <c r="D19" s="133" t="n">
        <v>0.7925</v>
      </c>
      <c r="E19" s="134" t="n">
        <v>2.7</v>
      </c>
      <c r="F19" s="134" t="n">
        <v>0</v>
      </c>
      <c r="G19" s="134" t="n">
        <f aca="false">E19+F19</f>
        <v>2.7</v>
      </c>
      <c r="H19" s="135" t="n">
        <f aca="false">E19*D19</f>
        <v>2.13975</v>
      </c>
      <c r="I19" s="135" t="n">
        <f aca="false">F19*D19</f>
        <v>0</v>
      </c>
      <c r="J19" s="135" t="n">
        <f aca="false">G19*D19</f>
        <v>2.13975</v>
      </c>
      <c r="K19" s="127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</row>
    <row r="20" customFormat="false" ht="15" hidden="false" customHeight="false" outlineLevel="0" collapsed="false">
      <c r="A20" s="130" t="n">
        <v>39434</v>
      </c>
      <c r="B20" s="131" t="s">
        <v>500</v>
      </c>
      <c r="C20" s="132" t="s">
        <v>446</v>
      </c>
      <c r="D20" s="133" t="n">
        <v>1.0327</v>
      </c>
      <c r="E20" s="134" t="n">
        <v>3.38</v>
      </c>
      <c r="F20" s="134" t="n">
        <v>0</v>
      </c>
      <c r="G20" s="134" t="n">
        <f aca="false">E20+F20</f>
        <v>3.38</v>
      </c>
      <c r="H20" s="135" t="n">
        <f aca="false">E20*D20</f>
        <v>3.490526</v>
      </c>
      <c r="I20" s="135" t="n">
        <f aca="false">F20*D20</f>
        <v>0</v>
      </c>
      <c r="J20" s="135" t="n">
        <f aca="false">G20*D20</f>
        <v>3.490526</v>
      </c>
      <c r="K20" s="127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customFormat="false" ht="15" hidden="false" customHeight="false" outlineLevel="0" collapsed="false">
      <c r="A21" s="130" t="n">
        <v>39435</v>
      </c>
      <c r="B21" s="131" t="s">
        <v>501</v>
      </c>
      <c r="C21" s="132" t="s">
        <v>14</v>
      </c>
      <c r="D21" s="133" t="n">
        <v>20.0077</v>
      </c>
      <c r="E21" s="134" t="n">
        <v>0.09</v>
      </c>
      <c r="F21" s="134" t="n">
        <v>0</v>
      </c>
      <c r="G21" s="134" t="n">
        <f aca="false">E21+F21</f>
        <v>0.09</v>
      </c>
      <c r="H21" s="135" t="n">
        <f aca="false">E21*D21</f>
        <v>1.800693</v>
      </c>
      <c r="I21" s="135" t="n">
        <f aca="false">F21*D21</f>
        <v>0</v>
      </c>
      <c r="J21" s="135" t="n">
        <f aca="false">G21*D21</f>
        <v>1.800693</v>
      </c>
      <c r="K21" s="127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customFormat="false" ht="15" hidden="false" customHeight="false" outlineLevel="0" collapsed="false">
      <c r="A22" s="130" t="n">
        <v>39443</v>
      </c>
      <c r="B22" s="131" t="s">
        <v>502</v>
      </c>
      <c r="C22" s="132" t="s">
        <v>14</v>
      </c>
      <c r="D22" s="133" t="n">
        <v>0.9149</v>
      </c>
      <c r="E22" s="134" t="n">
        <v>0.21</v>
      </c>
      <c r="F22" s="134" t="n">
        <v>0</v>
      </c>
      <c r="G22" s="134" t="n">
        <f aca="false">E22+F22</f>
        <v>0.21</v>
      </c>
      <c r="H22" s="135" t="n">
        <f aca="false">E22*D22</f>
        <v>0.192129</v>
      </c>
      <c r="I22" s="135" t="n">
        <f aca="false">F22*D22</f>
        <v>0</v>
      </c>
      <c r="J22" s="135" t="n">
        <f aca="false">G22*D22</f>
        <v>0.192129</v>
      </c>
      <c r="K22" s="12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</row>
    <row r="23" customFormat="false" ht="15" hidden="false" customHeight="false" outlineLevel="0" collapsed="false">
      <c r="A23" s="130" t="n">
        <v>88278</v>
      </c>
      <c r="B23" s="131" t="s">
        <v>503</v>
      </c>
      <c r="C23" s="132" t="s">
        <v>504</v>
      </c>
      <c r="D23" s="133" t="n">
        <v>0.628</v>
      </c>
      <c r="E23" s="134" t="n">
        <v>5.58</v>
      </c>
      <c r="F23" s="134" t="n">
        <v>19.48</v>
      </c>
      <c r="G23" s="134" t="n">
        <f aca="false">E23+F23</f>
        <v>25.06</v>
      </c>
      <c r="H23" s="135" t="n">
        <f aca="false">E23*D23</f>
        <v>3.50424</v>
      </c>
      <c r="I23" s="135" t="n">
        <f aca="false">F23*D23</f>
        <v>12.23344</v>
      </c>
      <c r="J23" s="135" t="n">
        <f aca="false">G23*D23</f>
        <v>15.73768</v>
      </c>
      <c r="K23" s="127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</row>
    <row r="24" customFormat="false" ht="15" hidden="false" customHeight="false" outlineLevel="0" collapsed="false">
      <c r="A24" s="130" t="n">
        <v>88316</v>
      </c>
      <c r="B24" s="131" t="s">
        <v>505</v>
      </c>
      <c r="C24" s="132" t="s">
        <v>504</v>
      </c>
      <c r="D24" s="133" t="n">
        <v>0.157</v>
      </c>
      <c r="E24" s="134" t="n">
        <v>6.52</v>
      </c>
      <c r="F24" s="134" t="n">
        <v>14.85</v>
      </c>
      <c r="G24" s="134" t="n">
        <f aca="false">E24+F24</f>
        <v>21.37</v>
      </c>
      <c r="H24" s="135" t="n">
        <f aca="false">E24*D24</f>
        <v>1.02364</v>
      </c>
      <c r="I24" s="135" t="n">
        <f aca="false">F24*D24</f>
        <v>2.33145</v>
      </c>
      <c r="J24" s="135" t="n">
        <f aca="false">G24*D24</f>
        <v>3.35509</v>
      </c>
      <c r="K24" s="127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</row>
    <row r="25" customFormat="false" ht="15" hidden="false" customHeight="false" outlineLevel="0" collapsed="false">
      <c r="A25" s="3"/>
      <c r="B25" s="3"/>
      <c r="C25" s="3"/>
      <c r="D25" s="3"/>
      <c r="E25" s="3"/>
      <c r="F25" s="136"/>
      <c r="G25" s="137" t="s">
        <v>506</v>
      </c>
      <c r="H25" s="138" t="n">
        <f aca="false">SUM(H14:H24)</f>
        <v>118.017948</v>
      </c>
      <c r="I25" s="138" t="n">
        <f aca="false">SUM(I14:I24)</f>
        <v>14.56489</v>
      </c>
      <c r="J25" s="138" t="n">
        <f aca="false">SUM(J14:J24)</f>
        <v>132.582838</v>
      </c>
      <c r="K25" s="127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customFormat="false" ht="15.75" hidden="false" customHeight="true" outlineLevel="0" collapsed="false"/>
    <row r="27" customFormat="false" ht="15" hidden="false" customHeight="false" outlineLevel="0" collapsed="false">
      <c r="A27" s="139" t="s">
        <v>132</v>
      </c>
      <c r="B27" s="140" t="s">
        <v>133</v>
      </c>
      <c r="C27" s="141" t="s">
        <v>150</v>
      </c>
      <c r="D27" s="142"/>
      <c r="E27" s="142"/>
      <c r="F27" s="142"/>
      <c r="G27" s="142"/>
      <c r="H27" s="142"/>
      <c r="I27" s="142"/>
      <c r="J27" s="14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customFormat="false" ht="15" hidden="false" customHeight="false" outlineLevel="0" collapsed="false">
      <c r="A28" s="143" t="s">
        <v>12</v>
      </c>
      <c r="B28" s="144" t="s">
        <v>10</v>
      </c>
      <c r="C28" s="144" t="s">
        <v>14</v>
      </c>
      <c r="D28" s="144" t="s">
        <v>488</v>
      </c>
      <c r="E28" s="144" t="s">
        <v>489</v>
      </c>
      <c r="F28" s="144" t="s">
        <v>20</v>
      </c>
      <c r="G28" s="144" t="s">
        <v>490</v>
      </c>
      <c r="H28" s="145"/>
      <c r="I28" s="145"/>
      <c r="J28" s="145" t="s">
        <v>491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customFormat="false" ht="15" hidden="false" customHeight="false" outlineLevel="0" collapsed="false">
      <c r="A29" s="146" t="n">
        <v>7272</v>
      </c>
      <c r="B29" s="147" t="s">
        <v>507</v>
      </c>
      <c r="C29" s="148" t="s">
        <v>14</v>
      </c>
      <c r="D29" s="149" t="n">
        <v>25</v>
      </c>
      <c r="E29" s="150" t="n">
        <f aca="false">(3.62+3.89+8.39)/3</f>
        <v>5.3</v>
      </c>
      <c r="F29" s="150" t="n">
        <v>0</v>
      </c>
      <c r="G29" s="150" t="n">
        <f aca="false">E29+F29</f>
        <v>5.3</v>
      </c>
      <c r="H29" s="151" t="n">
        <f aca="false">E29*D29</f>
        <v>132.5</v>
      </c>
      <c r="I29" s="151" t="n">
        <f aca="false">F29*D29</f>
        <v>0</v>
      </c>
      <c r="J29" s="151" t="n">
        <f aca="false">G29*D29</f>
        <v>132.5</v>
      </c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customFormat="false" ht="15" hidden="false" customHeight="false" outlineLevel="0" collapsed="false">
      <c r="A30" s="146" t="n">
        <v>88309</v>
      </c>
      <c r="B30" s="147" t="s">
        <v>508</v>
      </c>
      <c r="C30" s="148" t="s">
        <v>504</v>
      </c>
      <c r="D30" s="149" t="n">
        <v>2.22</v>
      </c>
      <c r="E30" s="150" t="n">
        <v>6.64</v>
      </c>
      <c r="F30" s="150" t="n">
        <v>21.02</v>
      </c>
      <c r="G30" s="150" t="n">
        <f aca="false">E30+F30</f>
        <v>27.66</v>
      </c>
      <c r="H30" s="151" t="n">
        <f aca="false">E30*D30</f>
        <v>14.7408</v>
      </c>
      <c r="I30" s="151" t="n">
        <f aca="false">F30*D30</f>
        <v>46.6644</v>
      </c>
      <c r="J30" s="151" t="n">
        <f aca="false">G30*D30</f>
        <v>61.4052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customFormat="false" ht="15" hidden="false" customHeight="false" outlineLevel="0" collapsed="false">
      <c r="A31" s="146" t="n">
        <v>88316</v>
      </c>
      <c r="B31" s="147" t="s">
        <v>505</v>
      </c>
      <c r="C31" s="148" t="s">
        <v>504</v>
      </c>
      <c r="D31" s="149" t="n">
        <v>1.11</v>
      </c>
      <c r="E31" s="150" t="n">
        <v>6.52</v>
      </c>
      <c r="F31" s="150" t="n">
        <v>14.85</v>
      </c>
      <c r="G31" s="150" t="n">
        <f aca="false">E31+F31</f>
        <v>21.37</v>
      </c>
      <c r="H31" s="151" t="n">
        <f aca="false">E31*D31</f>
        <v>7.2372</v>
      </c>
      <c r="I31" s="151" t="n">
        <f aca="false">F31*D31</f>
        <v>16.4835</v>
      </c>
      <c r="J31" s="151" t="n">
        <f aca="false">G31*D31</f>
        <v>23.7207</v>
      </c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customFormat="false" ht="15" hidden="false" customHeight="false" outlineLevel="0" collapsed="false">
      <c r="A32" s="146" t="n">
        <v>100489</v>
      </c>
      <c r="B32" s="147" t="s">
        <v>509</v>
      </c>
      <c r="C32" s="148" t="s">
        <v>510</v>
      </c>
      <c r="D32" s="149" t="n">
        <v>0.023</v>
      </c>
      <c r="E32" s="150" t="n">
        <v>435.29</v>
      </c>
      <c r="F32" s="150" t="n">
        <v>48.16</v>
      </c>
      <c r="G32" s="150" t="n">
        <f aca="false">E32+F32</f>
        <v>483.45</v>
      </c>
      <c r="H32" s="151" t="n">
        <f aca="false">E32*D32</f>
        <v>10.01167</v>
      </c>
      <c r="I32" s="151" t="n">
        <f aca="false">F32*D32</f>
        <v>1.10768</v>
      </c>
      <c r="J32" s="151" t="n">
        <f aca="false">G32*D32</f>
        <v>11.11935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customFormat="false" ht="15.75" hidden="false" customHeight="true" outlineLevel="0" collapsed="false">
      <c r="A33" s="14"/>
      <c r="B33" s="14"/>
      <c r="C33" s="14"/>
      <c r="D33" s="14"/>
      <c r="E33" s="152"/>
      <c r="F33" s="153"/>
      <c r="G33" s="154" t="s">
        <v>506</v>
      </c>
      <c r="H33" s="155" t="n">
        <f aca="false">SUM(H29:H32)</f>
        <v>164.48967</v>
      </c>
      <c r="I33" s="155" t="n">
        <f aca="false">SUM(I29:I32)</f>
        <v>64.25558</v>
      </c>
      <c r="J33" s="155" t="n">
        <f aca="false">SUM(J29:J32)</f>
        <v>228.74525</v>
      </c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customFormat="false" ht="15.75" hidden="false" customHeight="true" outlineLevel="0" collapsed="false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customFormat="false" ht="15" hidden="false" customHeight="false" outlineLevel="0" collapsed="false">
      <c r="A35" s="139" t="s">
        <v>243</v>
      </c>
      <c r="B35" s="140" t="s">
        <v>244</v>
      </c>
      <c r="C35" s="141" t="s">
        <v>150</v>
      </c>
      <c r="D35" s="142"/>
      <c r="E35" s="142"/>
      <c r="F35" s="142"/>
      <c r="G35" s="142"/>
      <c r="H35" s="142"/>
      <c r="I35" s="142"/>
      <c r="J35" s="142"/>
    </row>
    <row r="36" customFormat="false" ht="15" hidden="false" customHeight="false" outlineLevel="0" collapsed="false">
      <c r="A36" s="143" t="s">
        <v>12</v>
      </c>
      <c r="B36" s="144" t="s">
        <v>10</v>
      </c>
      <c r="C36" s="144" t="s">
        <v>14</v>
      </c>
      <c r="D36" s="144" t="s">
        <v>488</v>
      </c>
      <c r="E36" s="144" t="s">
        <v>489</v>
      </c>
      <c r="F36" s="144" t="s">
        <v>20</v>
      </c>
      <c r="G36" s="144" t="s">
        <v>490</v>
      </c>
      <c r="H36" s="145"/>
      <c r="I36" s="145"/>
      <c r="J36" s="145" t="s">
        <v>491</v>
      </c>
    </row>
    <row r="37" customFormat="false" ht="15" hidden="false" customHeight="false" outlineLevel="0" collapsed="false">
      <c r="A37" s="156" t="n">
        <v>21128</v>
      </c>
      <c r="B37" s="147" t="s">
        <v>511</v>
      </c>
      <c r="C37" s="148" t="s">
        <v>216</v>
      </c>
      <c r="D37" s="149" t="n">
        <v>1.05</v>
      </c>
      <c r="E37" s="150" t="n">
        <v>13.9</v>
      </c>
      <c r="F37" s="150" t="n">
        <v>0</v>
      </c>
      <c r="G37" s="150" t="n">
        <f aca="false">E37+F37</f>
        <v>13.9</v>
      </c>
      <c r="H37" s="150" t="n">
        <f aca="false">E37*D37</f>
        <v>14.595</v>
      </c>
      <c r="I37" s="150" t="n">
        <f aca="false">F37*D37</f>
        <v>0</v>
      </c>
      <c r="J37" s="150" t="n">
        <f aca="false">G37*D37</f>
        <v>14.595</v>
      </c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</row>
    <row r="38" customFormat="false" ht="15" hidden="false" customHeight="false" outlineLevel="0" collapsed="false">
      <c r="A38" s="156" t="n">
        <v>88247</v>
      </c>
      <c r="B38" s="147" t="s">
        <v>512</v>
      </c>
      <c r="C38" s="148" t="s">
        <v>504</v>
      </c>
      <c r="D38" s="149" t="n">
        <v>0.1944</v>
      </c>
      <c r="E38" s="150" t="n">
        <v>6.66</v>
      </c>
      <c r="F38" s="150" t="n">
        <v>16.29</v>
      </c>
      <c r="G38" s="150" t="n">
        <f aca="false">E38+F38</f>
        <v>22.95</v>
      </c>
      <c r="H38" s="150" t="n">
        <f aca="false">E38*D38</f>
        <v>1.294704</v>
      </c>
      <c r="I38" s="150" t="n">
        <f aca="false">F38*D38</f>
        <v>3.166776</v>
      </c>
      <c r="J38" s="150" t="n">
        <f aca="false">G38*D38</f>
        <v>4.46148</v>
      </c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</row>
    <row r="39" customFormat="false" ht="15" hidden="false" customHeight="false" outlineLevel="0" collapsed="false">
      <c r="A39" s="156" t="n">
        <v>88264</v>
      </c>
      <c r="B39" s="147" t="s">
        <v>513</v>
      </c>
      <c r="C39" s="148" t="s">
        <v>504</v>
      </c>
      <c r="D39" s="149" t="n">
        <v>0.1944</v>
      </c>
      <c r="E39" s="150" t="n">
        <v>6.66</v>
      </c>
      <c r="F39" s="150" t="n">
        <v>21.29</v>
      </c>
      <c r="G39" s="150" t="n">
        <f aca="false">E39+F39</f>
        <v>27.95</v>
      </c>
      <c r="H39" s="150" t="n">
        <f aca="false">E39*D39</f>
        <v>1.294704</v>
      </c>
      <c r="I39" s="150" t="n">
        <f aca="false">F39*D39</f>
        <v>4.138776</v>
      </c>
      <c r="J39" s="150" t="n">
        <f aca="false">G39*D39</f>
        <v>5.43348</v>
      </c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</row>
    <row r="40" customFormat="false" ht="15" hidden="false" customHeight="false" outlineLevel="0" collapsed="false">
      <c r="A40" s="156" t="n">
        <v>91173</v>
      </c>
      <c r="B40" s="147" t="s">
        <v>514</v>
      </c>
      <c r="C40" s="148" t="s">
        <v>216</v>
      </c>
      <c r="D40" s="149" t="n">
        <v>2</v>
      </c>
      <c r="E40" s="150" t="n">
        <v>0.81</v>
      </c>
      <c r="F40" s="150" t="n">
        <v>0.83</v>
      </c>
      <c r="G40" s="150" t="n">
        <f aca="false">E40+F40</f>
        <v>1.64</v>
      </c>
      <c r="H40" s="150" t="n">
        <f aca="false">E40*D40</f>
        <v>1.62</v>
      </c>
      <c r="I40" s="150" t="n">
        <f aca="false">F40*D40</f>
        <v>1.66</v>
      </c>
      <c r="J40" s="150" t="n">
        <f aca="false">G40*D40</f>
        <v>3.28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</row>
    <row r="41" customFormat="false" ht="15" hidden="false" customHeight="false" outlineLevel="0" collapsed="false">
      <c r="A41" s="14"/>
      <c r="B41" s="14"/>
      <c r="C41" s="14"/>
      <c r="D41" s="14"/>
      <c r="E41" s="152"/>
      <c r="F41" s="153"/>
      <c r="G41" s="154" t="s">
        <v>506</v>
      </c>
      <c r="H41" s="155" t="n">
        <f aca="false">SUM(H37:H40)</f>
        <v>18.804408</v>
      </c>
      <c r="I41" s="155" t="n">
        <f aca="false">SUM(I37:I40)</f>
        <v>8.965552</v>
      </c>
      <c r="J41" s="155" t="n">
        <f aca="false">SUM(J37:J40)</f>
        <v>27.76996</v>
      </c>
    </row>
    <row r="42" customFormat="false" ht="15.75" hidden="false" customHeight="true" outlineLevel="0" collapsed="false"/>
    <row r="43" customFormat="false" ht="15" hidden="false" customHeight="false" outlineLevel="0" collapsed="false">
      <c r="A43" s="139" t="s">
        <v>410</v>
      </c>
      <c r="B43" s="140" t="s">
        <v>411</v>
      </c>
      <c r="C43" s="141" t="s">
        <v>150</v>
      </c>
      <c r="D43" s="142"/>
      <c r="E43" s="142"/>
      <c r="F43" s="142"/>
      <c r="G43" s="142"/>
      <c r="H43" s="142"/>
      <c r="I43" s="142"/>
      <c r="J43" s="142"/>
    </row>
    <row r="44" customFormat="false" ht="15" hidden="false" customHeight="false" outlineLevel="0" collapsed="false">
      <c r="A44" s="143" t="s">
        <v>12</v>
      </c>
      <c r="B44" s="144" t="s">
        <v>10</v>
      </c>
      <c r="C44" s="144" t="s">
        <v>14</v>
      </c>
      <c r="D44" s="144" t="s">
        <v>488</v>
      </c>
      <c r="E44" s="144" t="s">
        <v>489</v>
      </c>
      <c r="F44" s="144" t="s">
        <v>20</v>
      </c>
      <c r="G44" s="144" t="s">
        <v>490</v>
      </c>
      <c r="H44" s="145"/>
      <c r="I44" s="145"/>
      <c r="J44" s="145" t="s">
        <v>491</v>
      </c>
    </row>
    <row r="45" customFormat="false" ht="15" hidden="false" customHeight="false" outlineLevel="0" collapsed="false">
      <c r="A45" s="156" t="n">
        <v>37401</v>
      </c>
      <c r="B45" s="147" t="s">
        <v>411</v>
      </c>
      <c r="C45" s="148" t="s">
        <v>14</v>
      </c>
      <c r="D45" s="149" t="n">
        <v>1</v>
      </c>
      <c r="E45" s="150" t="n">
        <v>44.14</v>
      </c>
      <c r="F45" s="150" t="n">
        <v>0</v>
      </c>
      <c r="G45" s="150" t="n">
        <f aca="false">E45+F45</f>
        <v>44.14</v>
      </c>
      <c r="H45" s="150" t="n">
        <f aca="false">E45*D45</f>
        <v>44.14</v>
      </c>
      <c r="I45" s="150" t="n">
        <f aca="false">F45*D45</f>
        <v>0</v>
      </c>
      <c r="J45" s="150" t="n">
        <f aca="false">G45*D45</f>
        <v>44.14</v>
      </c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</row>
    <row r="46" customFormat="false" ht="15" hidden="false" customHeight="false" outlineLevel="0" collapsed="false">
      <c r="A46" s="156" t="n">
        <v>88267</v>
      </c>
      <c r="B46" s="147" t="s">
        <v>515</v>
      </c>
      <c r="C46" s="148" t="s">
        <v>504</v>
      </c>
      <c r="D46" s="149" t="n">
        <v>0.3162</v>
      </c>
      <c r="E46" s="150" t="n">
        <v>6.07</v>
      </c>
      <c r="F46" s="150" t="n">
        <v>20.97</v>
      </c>
      <c r="G46" s="150" t="n">
        <f aca="false">E46+F46</f>
        <v>27.04</v>
      </c>
      <c r="H46" s="150" t="n">
        <f aca="false">E46*D46</f>
        <v>1.919334</v>
      </c>
      <c r="I46" s="150" t="n">
        <f aca="false">F46*D46</f>
        <v>6.630714</v>
      </c>
      <c r="J46" s="150" t="n">
        <f aca="false">G46*D46</f>
        <v>8.550048</v>
      </c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</row>
    <row r="47" customFormat="false" ht="15" hidden="false" customHeight="false" outlineLevel="0" collapsed="false">
      <c r="A47" s="156" t="n">
        <v>88316</v>
      </c>
      <c r="B47" s="147" t="s">
        <v>505</v>
      </c>
      <c r="C47" s="148" t="s">
        <v>504</v>
      </c>
      <c r="D47" s="149" t="n">
        <v>0.0996</v>
      </c>
      <c r="E47" s="150" t="n">
        <v>6.52</v>
      </c>
      <c r="F47" s="150" t="n">
        <v>14.85</v>
      </c>
      <c r="G47" s="150" t="n">
        <f aca="false">E47+F47</f>
        <v>21.37</v>
      </c>
      <c r="H47" s="150" t="n">
        <f aca="false">E47*D47</f>
        <v>0.649392</v>
      </c>
      <c r="I47" s="150" t="n">
        <f aca="false">F47*D47</f>
        <v>1.47906</v>
      </c>
      <c r="J47" s="150" t="n">
        <f aca="false">G47*D47</f>
        <v>2.128452</v>
      </c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</row>
    <row r="48" customFormat="false" ht="15" hidden="false" customHeight="false" outlineLevel="0" collapsed="false">
      <c r="A48" s="14"/>
      <c r="B48" s="14"/>
      <c r="C48" s="14"/>
      <c r="D48" s="14"/>
      <c r="E48" s="152"/>
      <c r="F48" s="153"/>
      <c r="G48" s="154" t="s">
        <v>506</v>
      </c>
      <c r="H48" s="155" t="n">
        <f aca="false">SUM(H45:H47)</f>
        <v>46.708726</v>
      </c>
      <c r="I48" s="155" t="n">
        <f aca="false">SUM(I45:I47)</f>
        <v>8.109774</v>
      </c>
      <c r="J48" s="155" t="n">
        <f aca="false">SUM(J45:J47)</f>
        <v>54.8185</v>
      </c>
    </row>
    <row r="49" customFormat="false" ht="15.75" hidden="false" customHeight="true" outlineLevel="0" collapsed="false"/>
    <row r="50" customFormat="false" ht="15" hidden="false" customHeight="false" outlineLevel="0" collapsed="false">
      <c r="A50" s="139" t="s">
        <v>414</v>
      </c>
      <c r="B50" s="140" t="s">
        <v>415</v>
      </c>
      <c r="C50" s="141" t="s">
        <v>150</v>
      </c>
      <c r="D50" s="142"/>
      <c r="E50" s="142"/>
      <c r="F50" s="142"/>
      <c r="G50" s="142"/>
      <c r="H50" s="142"/>
      <c r="I50" s="142"/>
      <c r="J50" s="142"/>
    </row>
    <row r="51" customFormat="false" ht="15" hidden="false" customHeight="false" outlineLevel="0" collapsed="false">
      <c r="A51" s="143" t="s">
        <v>12</v>
      </c>
      <c r="B51" s="144" t="s">
        <v>10</v>
      </c>
      <c r="C51" s="144" t="s">
        <v>14</v>
      </c>
      <c r="D51" s="144" t="s">
        <v>488</v>
      </c>
      <c r="E51" s="144" t="s">
        <v>489</v>
      </c>
      <c r="F51" s="144" t="s">
        <v>20</v>
      </c>
      <c r="G51" s="144" t="s">
        <v>490</v>
      </c>
      <c r="H51" s="145"/>
      <c r="I51" s="145"/>
      <c r="J51" s="145" t="s">
        <v>491</v>
      </c>
    </row>
    <row r="52" customFormat="false" ht="15" hidden="false" customHeight="false" outlineLevel="0" collapsed="false">
      <c r="A52" s="156" t="n">
        <v>37400</v>
      </c>
      <c r="B52" s="147" t="s">
        <v>415</v>
      </c>
      <c r="C52" s="148" t="s">
        <v>14</v>
      </c>
      <c r="D52" s="149" t="n">
        <v>1</v>
      </c>
      <c r="E52" s="150" t="n">
        <v>44.14</v>
      </c>
      <c r="F52" s="150" t="n">
        <v>0</v>
      </c>
      <c r="G52" s="150" t="n">
        <f aca="false">E52+F52</f>
        <v>44.14</v>
      </c>
      <c r="H52" s="150" t="n">
        <f aca="false">E52*D52</f>
        <v>44.14</v>
      </c>
      <c r="I52" s="150" t="n">
        <f aca="false">F52*D52</f>
        <v>0</v>
      </c>
      <c r="J52" s="150" t="n">
        <f aca="false">G52*D52</f>
        <v>44.14</v>
      </c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</row>
    <row r="53" customFormat="false" ht="15" hidden="false" customHeight="false" outlineLevel="0" collapsed="false">
      <c r="A53" s="156" t="n">
        <v>88267</v>
      </c>
      <c r="B53" s="147" t="s">
        <v>515</v>
      </c>
      <c r="C53" s="148" t="s">
        <v>504</v>
      </c>
      <c r="D53" s="149" t="n">
        <v>0.3162</v>
      </c>
      <c r="E53" s="150" t="n">
        <v>6.07</v>
      </c>
      <c r="F53" s="150" t="n">
        <v>20.97</v>
      </c>
      <c r="G53" s="150" t="n">
        <f aca="false">E53+F53</f>
        <v>27.04</v>
      </c>
      <c r="H53" s="150" t="n">
        <f aca="false">E53*D53</f>
        <v>1.919334</v>
      </c>
      <c r="I53" s="150" t="n">
        <f aca="false">F53*D53</f>
        <v>6.630714</v>
      </c>
      <c r="J53" s="150" t="n">
        <f aca="false">G53*D53</f>
        <v>8.550048</v>
      </c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</row>
    <row r="54" customFormat="false" ht="15" hidden="false" customHeight="false" outlineLevel="0" collapsed="false">
      <c r="A54" s="156" t="n">
        <v>88316</v>
      </c>
      <c r="B54" s="147" t="s">
        <v>505</v>
      </c>
      <c r="C54" s="148" t="s">
        <v>504</v>
      </c>
      <c r="D54" s="149" t="n">
        <v>0.0996</v>
      </c>
      <c r="E54" s="150" t="n">
        <v>6.52</v>
      </c>
      <c r="F54" s="150" t="n">
        <v>14.85</v>
      </c>
      <c r="G54" s="150" t="n">
        <f aca="false">E54+F54</f>
        <v>21.37</v>
      </c>
      <c r="H54" s="150" t="n">
        <f aca="false">E54*D54</f>
        <v>0.649392</v>
      </c>
      <c r="I54" s="150" t="n">
        <f aca="false">F54*D54</f>
        <v>1.47906</v>
      </c>
      <c r="J54" s="150" t="n">
        <f aca="false">G54*D54</f>
        <v>2.128452</v>
      </c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</row>
    <row r="55" customFormat="false" ht="15" hidden="false" customHeight="false" outlineLevel="0" collapsed="false">
      <c r="A55" s="14"/>
      <c r="B55" s="14"/>
      <c r="C55" s="14"/>
      <c r="D55" s="14"/>
      <c r="E55" s="152"/>
      <c r="F55" s="153"/>
      <c r="G55" s="154" t="s">
        <v>506</v>
      </c>
      <c r="H55" s="155" t="n">
        <f aca="false">SUM(H52:H54)</f>
        <v>46.708726</v>
      </c>
      <c r="I55" s="155" t="n">
        <f aca="false">SUM(I52:I54)</f>
        <v>8.109774</v>
      </c>
      <c r="J55" s="155" t="n">
        <f aca="false">SUM(J52:J54)</f>
        <v>54.8185</v>
      </c>
    </row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</sheetData>
  <mergeCells count="10">
    <mergeCell ref="A2:A8"/>
    <mergeCell ref="B2:C8"/>
    <mergeCell ref="D2:G2"/>
    <mergeCell ref="D3:G3"/>
    <mergeCell ref="D4:G4"/>
    <mergeCell ref="D5:G5"/>
    <mergeCell ref="D6:G6"/>
    <mergeCell ref="D7:G7"/>
    <mergeCell ref="D8:G8"/>
    <mergeCell ref="A10:J10"/>
  </mergeCell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A64D79"/>
    <pageSetUpPr fitToPage="true"/>
  </sheetPr>
  <dimension ref="A1:Z32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6.62"/>
    <col collapsed="false" customWidth="true" hidden="false" outlineLevel="0" max="2" min="2" style="0" width="35.38"/>
    <col collapsed="false" customWidth="true" hidden="false" outlineLevel="0" max="3" min="3" style="0" width="19"/>
    <col collapsed="false" customWidth="true" hidden="false" outlineLevel="0" max="12" min="4" style="0" width="14.38"/>
    <col collapsed="false" customWidth="true" hidden="false" outlineLevel="0" max="13" min="13" style="0" width="7.75"/>
    <col collapsed="false" customWidth="true" hidden="false" outlineLevel="0" max="20" min="14" style="0" width="14.38"/>
    <col collapsed="false" customWidth="true" hidden="false" outlineLevel="0" max="26" min="21" style="0" width="8.63"/>
    <col collapsed="false" customWidth="true" hidden="false" outlineLevel="0" max="1025" min="27" style="0" width="12.63"/>
  </cols>
  <sheetData>
    <row r="1" customFormat="false" ht="15" hidden="false" customHeight="false" outlineLevel="0" collapsed="false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9"/>
      <c r="N1" s="159"/>
      <c r="O1" s="159"/>
      <c r="P1" s="159"/>
      <c r="Q1" s="159"/>
      <c r="R1" s="159"/>
      <c r="S1" s="159"/>
      <c r="T1" s="159"/>
    </row>
    <row r="2" customFormat="false" ht="15" hidden="false" customHeight="false" outlineLevel="0" collapsed="false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59"/>
      <c r="N2" s="159"/>
      <c r="O2" s="159"/>
      <c r="P2" s="159"/>
      <c r="Q2" s="159"/>
      <c r="R2" s="159"/>
      <c r="S2" s="159"/>
      <c r="T2" s="159"/>
    </row>
    <row r="3" customFormat="false" ht="15" hidden="false" customHeight="true" outlineLevel="0" collapsed="false">
      <c r="A3" s="160"/>
      <c r="B3" s="5"/>
      <c r="C3" s="5"/>
      <c r="D3" s="6" t="s">
        <v>0</v>
      </c>
      <c r="E3" s="6"/>
      <c r="F3" s="6"/>
      <c r="G3" s="6"/>
      <c r="H3" s="116"/>
      <c r="I3" s="7"/>
      <c r="J3" s="159"/>
      <c r="K3" s="160"/>
      <c r="L3" s="160"/>
      <c r="M3" s="159"/>
      <c r="N3" s="159"/>
      <c r="O3" s="159"/>
      <c r="P3" s="159"/>
      <c r="Q3" s="159"/>
      <c r="R3" s="159"/>
      <c r="S3" s="159"/>
      <c r="T3" s="159"/>
    </row>
    <row r="4" customFormat="false" ht="15" hidden="false" customHeight="true" outlineLevel="0" collapsed="false">
      <c r="A4" s="160"/>
      <c r="B4" s="5"/>
      <c r="C4" s="5"/>
      <c r="D4" s="8" t="s">
        <v>1</v>
      </c>
      <c r="E4" s="8"/>
      <c r="F4" s="8"/>
      <c r="G4" s="8"/>
      <c r="H4" s="116"/>
      <c r="I4" s="159"/>
      <c r="J4" s="159"/>
      <c r="K4" s="160"/>
      <c r="L4" s="160"/>
      <c r="M4" s="159"/>
      <c r="N4" s="159"/>
      <c r="O4" s="159"/>
      <c r="P4" s="159"/>
      <c r="Q4" s="159"/>
      <c r="R4" s="159"/>
      <c r="S4" s="159"/>
      <c r="T4" s="159"/>
    </row>
    <row r="5" customFormat="false" ht="15" hidden="false" customHeight="true" outlineLevel="0" collapsed="false">
      <c r="A5" s="160"/>
      <c r="B5" s="5"/>
      <c r="C5" s="5"/>
      <c r="D5" s="11" t="s">
        <v>3</v>
      </c>
      <c r="E5" s="11"/>
      <c r="F5" s="11"/>
      <c r="G5" s="11"/>
      <c r="H5" s="116"/>
      <c r="I5" s="159"/>
      <c r="J5" s="159"/>
      <c r="K5" s="160"/>
      <c r="L5" s="160"/>
      <c r="M5" s="159"/>
      <c r="N5" s="159"/>
      <c r="O5" s="159"/>
      <c r="P5" s="159"/>
      <c r="Q5" s="159"/>
      <c r="R5" s="159"/>
      <c r="S5" s="159"/>
      <c r="T5" s="159"/>
    </row>
    <row r="6" customFormat="false" ht="15" hidden="false" customHeight="true" outlineLevel="0" collapsed="false">
      <c r="A6" s="160"/>
      <c r="B6" s="5"/>
      <c r="C6" s="5"/>
      <c r="D6" s="13" t="s">
        <v>4</v>
      </c>
      <c r="E6" s="13"/>
      <c r="F6" s="13"/>
      <c r="G6" s="13"/>
      <c r="H6" s="116"/>
      <c r="K6" s="160"/>
      <c r="L6" s="160"/>
      <c r="M6" s="159"/>
      <c r="N6" s="159"/>
      <c r="O6" s="159"/>
      <c r="P6" s="159"/>
      <c r="Q6" s="159"/>
      <c r="R6" s="159"/>
      <c r="S6" s="159"/>
      <c r="T6" s="159"/>
    </row>
    <row r="7" customFormat="false" ht="15" hidden="false" customHeight="true" outlineLevel="0" collapsed="false">
      <c r="A7" s="160"/>
      <c r="B7" s="5"/>
      <c r="C7" s="5"/>
      <c r="D7" s="8" t="s">
        <v>6</v>
      </c>
      <c r="E7" s="8"/>
      <c r="F7" s="8"/>
      <c r="G7" s="8"/>
      <c r="H7" s="116"/>
      <c r="K7" s="160"/>
      <c r="L7" s="160"/>
      <c r="M7" s="159"/>
      <c r="N7" s="159"/>
      <c r="O7" s="159"/>
      <c r="P7" s="159"/>
      <c r="Q7" s="159"/>
      <c r="R7" s="159"/>
      <c r="S7" s="159"/>
      <c r="T7" s="159"/>
    </row>
    <row r="8" customFormat="false" ht="15" hidden="false" customHeight="true" outlineLevel="0" collapsed="false">
      <c r="A8" s="160"/>
      <c r="B8" s="5"/>
      <c r="C8" s="5"/>
      <c r="D8" s="8" t="s">
        <v>8</v>
      </c>
      <c r="E8" s="8"/>
      <c r="F8" s="8"/>
      <c r="G8" s="8"/>
      <c r="H8" s="116"/>
      <c r="I8" s="159"/>
      <c r="K8" s="160"/>
      <c r="L8" s="160"/>
      <c r="M8" s="159"/>
      <c r="N8" s="159"/>
      <c r="O8" s="159"/>
      <c r="P8" s="159"/>
      <c r="Q8" s="159"/>
      <c r="R8" s="159"/>
      <c r="S8" s="159"/>
      <c r="T8" s="159"/>
    </row>
    <row r="9" customFormat="false" ht="37.5" hidden="false" customHeight="true" outlineLevel="0" collapsed="false">
      <c r="A9" s="160"/>
      <c r="B9" s="5"/>
      <c r="C9" s="5"/>
      <c r="D9" s="20" t="s">
        <v>9</v>
      </c>
      <c r="E9" s="20"/>
      <c r="F9" s="20"/>
      <c r="G9" s="20"/>
      <c r="H9" s="116"/>
      <c r="I9" s="159"/>
      <c r="J9" s="159"/>
      <c r="K9" s="160"/>
      <c r="L9" s="160"/>
      <c r="M9" s="159"/>
      <c r="N9" s="159"/>
      <c r="O9" s="159"/>
      <c r="P9" s="159"/>
      <c r="Q9" s="159"/>
      <c r="R9" s="159"/>
      <c r="S9" s="159"/>
      <c r="T9" s="159"/>
    </row>
    <row r="10" customFormat="false" ht="15" hidden="false" customHeight="false" outlineLevel="0" collapsed="false">
      <c r="A10" s="160"/>
      <c r="B10" s="161"/>
      <c r="C10" s="159"/>
      <c r="D10" s="160"/>
      <c r="E10" s="160"/>
      <c r="F10" s="160"/>
      <c r="G10" s="160"/>
      <c r="H10" s="160"/>
      <c r="I10" s="159"/>
      <c r="J10" s="159"/>
      <c r="K10" s="160"/>
      <c r="L10" s="160"/>
      <c r="M10" s="159"/>
      <c r="N10" s="159"/>
      <c r="O10" s="159"/>
      <c r="P10" s="159"/>
      <c r="Q10" s="159"/>
      <c r="R10" s="159"/>
      <c r="S10" s="159"/>
      <c r="T10" s="159"/>
    </row>
    <row r="11" customFormat="false" ht="15" hidden="false" customHeight="true" outlineLevel="0" collapsed="false">
      <c r="A11" s="162" t="s">
        <v>516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59"/>
      <c r="N11" s="159"/>
      <c r="O11" s="159"/>
      <c r="P11" s="159"/>
      <c r="Q11" s="159"/>
      <c r="R11" s="159"/>
      <c r="S11" s="159"/>
      <c r="T11" s="159"/>
    </row>
    <row r="12" customFormat="false" ht="15" hidden="false" customHeight="true" outlineLevel="0" collapsed="false">
      <c r="A12" s="163"/>
      <c r="B12" s="164" t="s">
        <v>517</v>
      </c>
      <c r="C12" s="163"/>
      <c r="D12" s="163"/>
      <c r="E12" s="165" t="s">
        <v>518</v>
      </c>
      <c r="F12" s="165"/>
      <c r="G12" s="165" t="s">
        <v>519</v>
      </c>
      <c r="H12" s="165"/>
      <c r="I12" s="165" t="s">
        <v>520</v>
      </c>
      <c r="J12" s="165"/>
      <c r="K12" s="165" t="s">
        <v>521</v>
      </c>
      <c r="L12" s="165"/>
      <c r="M12" s="166"/>
      <c r="N12" s="166"/>
      <c r="O12" s="166"/>
      <c r="P12" s="166"/>
      <c r="Q12" s="166"/>
      <c r="R12" s="166"/>
      <c r="S12" s="166"/>
      <c r="T12" s="166"/>
      <c r="U12" s="167"/>
      <c r="V12" s="167"/>
      <c r="W12" s="167"/>
      <c r="X12" s="167"/>
      <c r="Y12" s="167"/>
      <c r="Z12" s="167"/>
    </row>
    <row r="13" customFormat="false" ht="15" hidden="false" customHeight="false" outlineLevel="0" collapsed="false">
      <c r="A13" s="163"/>
      <c r="B13" s="163"/>
      <c r="C13" s="168" t="s">
        <v>522</v>
      </c>
      <c r="D13" s="168" t="s">
        <v>523</v>
      </c>
      <c r="E13" s="169" t="s">
        <v>523</v>
      </c>
      <c r="F13" s="168" t="s">
        <v>524</v>
      </c>
      <c r="G13" s="169" t="s">
        <v>523</v>
      </c>
      <c r="H13" s="168" t="s">
        <v>524</v>
      </c>
      <c r="I13" s="169" t="s">
        <v>523</v>
      </c>
      <c r="J13" s="168" t="s">
        <v>524</v>
      </c>
      <c r="K13" s="169" t="s">
        <v>523</v>
      </c>
      <c r="L13" s="168" t="s">
        <v>524</v>
      </c>
      <c r="M13" s="166"/>
      <c r="N13" s="166"/>
      <c r="O13" s="166"/>
      <c r="P13" s="166"/>
      <c r="Q13" s="166"/>
      <c r="R13" s="166"/>
      <c r="S13" s="166"/>
      <c r="T13" s="166"/>
      <c r="U13" s="167"/>
      <c r="V13" s="167"/>
      <c r="W13" s="167"/>
      <c r="X13" s="167"/>
      <c r="Y13" s="167"/>
      <c r="Z13" s="167"/>
    </row>
    <row r="14" customFormat="false" ht="15" hidden="false" customHeight="false" outlineLevel="0" collapsed="false">
      <c r="A14" s="170" t="s">
        <v>23</v>
      </c>
      <c r="B14" s="171" t="str">
        <f aca="false">VLOOKUP(A14,'ORÇAMENTO - OBRA'!A13:M152,2,0)</f>
        <v>DEMOLIÇÕES E RETIRADAS</v>
      </c>
      <c r="C14" s="172" t="n">
        <f aca="false">VLOOKUP(A14,'ORÇAMENTO - OBRA'!$A$2:$M$971,13,FALSE())</f>
        <v>2131.83</v>
      </c>
      <c r="D14" s="173" t="n">
        <f aca="false">C14/$C$24</f>
        <v>0.0271018616726106</v>
      </c>
      <c r="E14" s="174" t="n">
        <v>1</v>
      </c>
      <c r="F14" s="175" t="n">
        <f aca="false">E14*C14</f>
        <v>2131.83</v>
      </c>
      <c r="G14" s="176"/>
      <c r="H14" s="177" t="n">
        <f aca="false">G14*C14</f>
        <v>0</v>
      </c>
      <c r="I14" s="176"/>
      <c r="J14" s="177" t="n">
        <f aca="false">I14*C14</f>
        <v>0</v>
      </c>
      <c r="K14" s="178"/>
      <c r="L14" s="177" t="n">
        <f aca="false">K14*C14</f>
        <v>0</v>
      </c>
      <c r="M14" s="179" t="n">
        <f aca="false">E14+G14+I14+K14</f>
        <v>1</v>
      </c>
      <c r="N14" s="159"/>
      <c r="O14" s="159"/>
      <c r="P14" s="159"/>
      <c r="Q14" s="159"/>
      <c r="R14" s="159"/>
      <c r="S14" s="159"/>
      <c r="T14" s="159"/>
    </row>
    <row r="15" customFormat="false" ht="15" hidden="false" customHeight="false" outlineLevel="0" collapsed="false">
      <c r="A15" s="170" t="s">
        <v>59</v>
      </c>
      <c r="B15" s="171" t="str">
        <f aca="false">VLOOKUP(A15,'ORÇAMENTO - OBRA'!$A$2:$M$957,2,FALSE())</f>
        <v>CONSTRUÇÕES E REGULARIZAÇÕES</v>
      </c>
      <c r="C15" s="172" t="n">
        <f aca="false">VLOOKUP(A15,'ORÇAMENTO - OBRA'!$A$2:$M$971,13,FALSE())</f>
        <v>5819.86</v>
      </c>
      <c r="D15" s="173" t="n">
        <f aca="false">C15/$C$24</f>
        <v>0.0739876259710951</v>
      </c>
      <c r="E15" s="180" t="n">
        <v>1</v>
      </c>
      <c r="F15" s="175" t="n">
        <f aca="false">E15*C15</f>
        <v>5819.86</v>
      </c>
      <c r="G15" s="181"/>
      <c r="H15" s="177" t="n">
        <f aca="false">G15*C15</f>
        <v>0</v>
      </c>
      <c r="I15" s="176"/>
      <c r="J15" s="177" t="n">
        <f aca="false">I15*C15</f>
        <v>0</v>
      </c>
      <c r="K15" s="178"/>
      <c r="L15" s="177" t="n">
        <f aca="false">K15*C15</f>
        <v>0</v>
      </c>
      <c r="M15" s="179" t="n">
        <f aca="false">E15+G15+I15+K15</f>
        <v>1</v>
      </c>
      <c r="N15" s="159"/>
      <c r="O15" s="159"/>
      <c r="P15" s="159"/>
      <c r="Q15" s="159"/>
      <c r="R15" s="159"/>
      <c r="S15" s="159"/>
      <c r="T15" s="159"/>
    </row>
    <row r="16" customFormat="false" ht="15" hidden="false" customHeight="false" outlineLevel="0" collapsed="false">
      <c r="A16" s="170" t="s">
        <v>99</v>
      </c>
      <c r="B16" s="171" t="str">
        <f aca="false">VLOOKUP(A16,'ORÇAMENTO - OBRA'!$A$2:$M$957,2,FALSE())</f>
        <v>DIVISÓRIAS E FORRO</v>
      </c>
      <c r="C16" s="172" t="n">
        <f aca="false">VLOOKUP(A16,'ORÇAMENTO - OBRA'!$A$2:$M$971,13,FALSE())</f>
        <v>4801.19</v>
      </c>
      <c r="D16" s="173" t="n">
        <f aca="false">C16/$C$24</f>
        <v>0.0610373187561491</v>
      </c>
      <c r="E16" s="174"/>
      <c r="F16" s="175" t="n">
        <f aca="false">E16*C16</f>
        <v>0</v>
      </c>
      <c r="G16" s="181" t="n">
        <v>1</v>
      </c>
      <c r="H16" s="177" t="n">
        <f aca="false">G16*C16</f>
        <v>4801.19</v>
      </c>
      <c r="I16" s="176"/>
      <c r="J16" s="177" t="n">
        <f aca="false">I16*C16</f>
        <v>0</v>
      </c>
      <c r="K16" s="178"/>
      <c r="L16" s="177" t="n">
        <f aca="false">K16*C16</f>
        <v>0</v>
      </c>
      <c r="M16" s="179" t="n">
        <f aca="false">E16+G16+I16+K16</f>
        <v>1</v>
      </c>
      <c r="N16" s="159"/>
      <c r="O16" s="159"/>
      <c r="P16" s="159"/>
      <c r="Q16" s="159"/>
      <c r="R16" s="159"/>
      <c r="S16" s="159"/>
      <c r="T16" s="159"/>
    </row>
    <row r="17" customFormat="false" ht="15" hidden="false" customHeight="false" outlineLevel="0" collapsed="false">
      <c r="A17" s="170" t="s">
        <v>116</v>
      </c>
      <c r="B17" s="171" t="str">
        <f aca="false">VLOOKUP(A17,'ORÇAMENTO - OBRA'!$A$2:$M$957,2,FALSE())</f>
        <v>REVESTIMENTOS</v>
      </c>
      <c r="C17" s="172" t="n">
        <f aca="false">VLOOKUP(A17,'ORÇAMENTO - OBRA'!$A$2:$M$971,13,FALSE())</f>
        <v>6092.44</v>
      </c>
      <c r="D17" s="173" t="n">
        <f aca="false">C17/$C$24</f>
        <v>0.0774529236049215</v>
      </c>
      <c r="E17" s="176"/>
      <c r="F17" s="175" t="n">
        <f aca="false">E17*C17</f>
        <v>0</v>
      </c>
      <c r="G17" s="180" t="n">
        <v>1</v>
      </c>
      <c r="H17" s="177" t="n">
        <f aca="false">G17*C17</f>
        <v>6092.44</v>
      </c>
      <c r="I17" s="176"/>
      <c r="J17" s="177" t="n">
        <f aca="false">I17*C17</f>
        <v>0</v>
      </c>
      <c r="K17" s="178"/>
      <c r="L17" s="177" t="n">
        <f aca="false">K17*C17</f>
        <v>0</v>
      </c>
      <c r="M17" s="179" t="n">
        <f aca="false">E17+G17+I17+K17</f>
        <v>1</v>
      </c>
      <c r="N17" s="159"/>
      <c r="O17" s="159"/>
      <c r="P17" s="159"/>
      <c r="Q17" s="159"/>
      <c r="R17" s="159"/>
      <c r="S17" s="159"/>
      <c r="T17" s="159"/>
    </row>
    <row r="18" customFormat="false" ht="15" hidden="false" customHeight="false" outlineLevel="0" collapsed="false">
      <c r="A18" s="170" t="s">
        <v>136</v>
      </c>
      <c r="B18" s="171" t="str">
        <f aca="false">VLOOKUP(A18,'ORÇAMENTO - OBRA'!$A$2:$M$957,2,FALSE())</f>
        <v>ESQUADRIAS</v>
      </c>
      <c r="C18" s="172" t="n">
        <f aca="false">VLOOKUP(A18,'ORÇAMENTO - OBRA'!$A$2:$M$971,13,FALSE())</f>
        <v>8091.4</v>
      </c>
      <c r="D18" s="173" t="n">
        <f aca="false">C18/$C$24</f>
        <v>0.102865614771235</v>
      </c>
      <c r="E18" s="180"/>
      <c r="F18" s="175" t="n">
        <f aca="false">E18*C18</f>
        <v>0</v>
      </c>
      <c r="G18" s="181" t="n">
        <v>0.5</v>
      </c>
      <c r="H18" s="177" t="n">
        <f aca="false">G18*C18</f>
        <v>4045.7</v>
      </c>
      <c r="I18" s="176" t="n">
        <v>0.5</v>
      </c>
      <c r="J18" s="177" t="n">
        <f aca="false">I18*C18</f>
        <v>4045.7</v>
      </c>
      <c r="K18" s="178"/>
      <c r="L18" s="177" t="n">
        <f aca="false">K18*C18</f>
        <v>0</v>
      </c>
      <c r="M18" s="179" t="n">
        <f aca="false">E18+G18+I18+K18</f>
        <v>1</v>
      </c>
      <c r="N18" s="159"/>
      <c r="O18" s="159"/>
      <c r="P18" s="159"/>
      <c r="Q18" s="159"/>
      <c r="R18" s="159"/>
      <c r="S18" s="159"/>
      <c r="T18" s="159"/>
    </row>
    <row r="19" customFormat="false" ht="15" hidden="false" customHeight="false" outlineLevel="0" collapsed="false">
      <c r="A19" s="170" t="s">
        <v>168</v>
      </c>
      <c r="B19" s="171" t="str">
        <f aca="false">VLOOKUP(A19,'ORÇAMENTO - OBRA'!$A$2:$M$957,2,FALSE())</f>
        <v>PINTURAS</v>
      </c>
      <c r="C19" s="172" t="n">
        <f aca="false">VLOOKUP(A19,'ORÇAMENTO - OBRA'!$A$2:$M$971,13,FALSE())</f>
        <v>14145.08</v>
      </c>
      <c r="D19" s="173" t="n">
        <f aca="false">C19/$C$24</f>
        <v>0.179825784189176</v>
      </c>
      <c r="E19" s="176"/>
      <c r="F19" s="175" t="n">
        <f aca="false">E19*C19</f>
        <v>0</v>
      </c>
      <c r="G19" s="180"/>
      <c r="H19" s="177" t="n">
        <f aca="false">G19*C19</f>
        <v>0</v>
      </c>
      <c r="I19" s="176"/>
      <c r="J19" s="177" t="n">
        <f aca="false">I19*C19</f>
        <v>0</v>
      </c>
      <c r="K19" s="178" t="n">
        <v>1</v>
      </c>
      <c r="L19" s="177" t="n">
        <f aca="false">K19*C19</f>
        <v>14145.08</v>
      </c>
      <c r="M19" s="179" t="n">
        <f aca="false">E19+G19+I19+K19</f>
        <v>1</v>
      </c>
      <c r="N19" s="159"/>
      <c r="O19" s="159"/>
      <c r="P19" s="159"/>
      <c r="Q19" s="159"/>
      <c r="R19" s="159"/>
      <c r="S19" s="159"/>
      <c r="T19" s="159"/>
    </row>
    <row r="20" customFormat="false" ht="15" hidden="false" customHeight="false" outlineLevel="0" collapsed="false">
      <c r="A20" s="170" t="s">
        <v>210</v>
      </c>
      <c r="B20" s="171" t="str">
        <f aca="false">VLOOKUP(A20,'ORÇAMENTO - OBRA'!$A$2:$M$957,2,FALSE())</f>
        <v>INST. ELÉTRICA</v>
      </c>
      <c r="C20" s="172" t="n">
        <f aca="false">VLOOKUP(A20,'ORÇAMENTO - OBRA'!$A$2:$M$971,13,FALSE())</f>
        <v>7940.98</v>
      </c>
      <c r="D20" s="173" t="n">
        <f aca="false">C20/$C$24</f>
        <v>0.100953331881514</v>
      </c>
      <c r="E20" s="176"/>
      <c r="F20" s="175" t="n">
        <f aca="false">E20*C20</f>
        <v>0</v>
      </c>
      <c r="G20" s="180" t="n">
        <v>0.5</v>
      </c>
      <c r="H20" s="177" t="n">
        <f aca="false">G20*C20</f>
        <v>3970.49</v>
      </c>
      <c r="I20" s="176" t="n">
        <v>0.5</v>
      </c>
      <c r="J20" s="177" t="n">
        <f aca="false">I20*C20</f>
        <v>3970.49</v>
      </c>
      <c r="K20" s="178"/>
      <c r="L20" s="177" t="n">
        <f aca="false">K20*C20</f>
        <v>0</v>
      </c>
      <c r="M20" s="179" t="n">
        <f aca="false">E20+G20+I20+K20</f>
        <v>1</v>
      </c>
      <c r="N20" s="159"/>
      <c r="O20" s="159"/>
      <c r="P20" s="159"/>
      <c r="Q20" s="159"/>
      <c r="R20" s="159"/>
      <c r="S20" s="159"/>
      <c r="T20" s="159"/>
    </row>
    <row r="21" customFormat="false" ht="15.75" hidden="false" customHeight="true" outlineLevel="0" collapsed="false">
      <c r="A21" s="170" t="s">
        <v>268</v>
      </c>
      <c r="B21" s="171" t="str">
        <f aca="false">VLOOKUP(A21,'ORÇAMENTO - OBRA'!$A$2:$M$957,2,FALSE())</f>
        <v>INST. HIDROSSANITÁRIAS</v>
      </c>
      <c r="C21" s="172" t="n">
        <f aca="false">VLOOKUP(A21,'ORÇAMENTO - OBRA'!$A$2:$M$971,13,FALSE())</f>
        <v>12434.92</v>
      </c>
      <c r="D21" s="173" t="n">
        <f aca="false">C21/$C$24</f>
        <v>0.158084594808207</v>
      </c>
      <c r="E21" s="176" t="n">
        <v>0.5</v>
      </c>
      <c r="F21" s="175" t="n">
        <f aca="false">E21*C21</f>
        <v>6217.46</v>
      </c>
      <c r="G21" s="180" t="n">
        <v>0.5</v>
      </c>
      <c r="H21" s="177" t="n">
        <f aca="false">G21*C21</f>
        <v>6217.46</v>
      </c>
      <c r="I21" s="176"/>
      <c r="J21" s="177" t="n">
        <f aca="false">I21*C21</f>
        <v>0</v>
      </c>
      <c r="K21" s="178"/>
      <c r="L21" s="177" t="n">
        <f aca="false">K21*C21</f>
        <v>0</v>
      </c>
      <c r="M21" s="179" t="n">
        <f aca="false">E21+G21+I21+K21</f>
        <v>1</v>
      </c>
      <c r="N21" s="159"/>
      <c r="O21" s="159"/>
      <c r="P21" s="159"/>
      <c r="Q21" s="159"/>
      <c r="R21" s="159"/>
      <c r="S21" s="159"/>
      <c r="T21" s="159"/>
    </row>
    <row r="22" customFormat="false" ht="15.75" hidden="false" customHeight="true" outlineLevel="0" collapsed="false">
      <c r="A22" s="170" t="s">
        <v>420</v>
      </c>
      <c r="B22" s="171" t="str">
        <f aca="false">VLOOKUP(A22,'ORÇAMENTO - OBRA'!$A$2:$M$957,2,FALSE())</f>
        <v>ADEQUAÇÕES EXTERNAS</v>
      </c>
      <c r="C22" s="172" t="n">
        <f aca="false">VLOOKUP(A22,'ORÇAMENTO - OBRA'!$A$2:$M$971,13,FALSE())</f>
        <v>16031.24</v>
      </c>
      <c r="D22" s="173" t="n">
        <f aca="false">C22/$C$24</f>
        <v>0.203804453882543</v>
      </c>
      <c r="E22" s="176" t="n">
        <v>0.2</v>
      </c>
      <c r="F22" s="175" t="n">
        <f aca="false">E22*C22</f>
        <v>3206.248</v>
      </c>
      <c r="G22" s="176" t="n">
        <v>0.3</v>
      </c>
      <c r="H22" s="177" t="n">
        <f aca="false">G22*C22</f>
        <v>4809.372</v>
      </c>
      <c r="I22" s="174" t="n">
        <v>0.4</v>
      </c>
      <c r="J22" s="177" t="n">
        <f aca="false">I22*C22</f>
        <v>6412.496</v>
      </c>
      <c r="K22" s="182" t="n">
        <v>0.1</v>
      </c>
      <c r="L22" s="177" t="n">
        <f aca="false">K22*C22</f>
        <v>1603.124</v>
      </c>
      <c r="M22" s="179" t="n">
        <f aca="false">E22+G22+I22+K22</f>
        <v>1</v>
      </c>
      <c r="N22" s="159"/>
      <c r="O22" s="159"/>
      <c r="P22" s="159"/>
      <c r="Q22" s="159"/>
      <c r="R22" s="159"/>
      <c r="S22" s="159"/>
      <c r="T22" s="159"/>
    </row>
    <row r="23" customFormat="false" ht="15.75" hidden="false" customHeight="true" outlineLevel="0" collapsed="false">
      <c r="A23" s="170" t="s">
        <v>474</v>
      </c>
      <c r="B23" s="171" t="str">
        <f aca="false">VLOOKUP(A23,'ORÇAMENTO - OBRA'!$A$2:$M$957,2,FALSE())</f>
        <v>LIMPEZA E RCC</v>
      </c>
      <c r="C23" s="172" t="n">
        <f aca="false">VLOOKUP(A23,'ORÇAMENTO - OBRA'!$A$2:$M$971,13,FALSE())</f>
        <v>1170.97</v>
      </c>
      <c r="D23" s="173" t="n">
        <f aca="false">C23/$C$24</f>
        <v>0.0148864904625495</v>
      </c>
      <c r="E23" s="176" t="n">
        <v>0.3</v>
      </c>
      <c r="F23" s="175" t="n">
        <f aca="false">E23*C23</f>
        <v>351.291</v>
      </c>
      <c r="G23" s="176"/>
      <c r="H23" s="177" t="n">
        <f aca="false">G23*C23</f>
        <v>0</v>
      </c>
      <c r="I23" s="176"/>
      <c r="J23" s="177" t="n">
        <f aca="false">I23*C23</f>
        <v>0</v>
      </c>
      <c r="K23" s="182" t="n">
        <v>0.7</v>
      </c>
      <c r="L23" s="177" t="n">
        <f aca="false">K23*C23</f>
        <v>819.679</v>
      </c>
      <c r="M23" s="179" t="n">
        <f aca="false">E23+G23+I23+K23</f>
        <v>1</v>
      </c>
      <c r="N23" s="159"/>
      <c r="O23" s="159"/>
      <c r="P23" s="159"/>
      <c r="Q23" s="159"/>
      <c r="R23" s="159"/>
      <c r="S23" s="159"/>
      <c r="T23" s="159"/>
    </row>
    <row r="24" customFormat="false" ht="15.75" hidden="false" customHeight="true" outlineLevel="0" collapsed="false">
      <c r="A24" s="170"/>
      <c r="B24" s="183" t="s">
        <v>21</v>
      </c>
      <c r="C24" s="172" t="n">
        <f aca="false">SUM(C14:C23)</f>
        <v>78659.91</v>
      </c>
      <c r="D24" s="173" t="n">
        <f aca="false">C24/$C$24</f>
        <v>1</v>
      </c>
      <c r="E24" s="184"/>
      <c r="F24" s="175"/>
      <c r="G24" s="185"/>
      <c r="H24" s="177"/>
      <c r="I24" s="185"/>
      <c r="J24" s="177"/>
      <c r="K24" s="185"/>
      <c r="L24" s="177"/>
      <c r="M24" s="159"/>
      <c r="N24" s="159"/>
      <c r="O24" s="159"/>
      <c r="P24" s="159"/>
      <c r="Q24" s="159"/>
      <c r="R24" s="159"/>
      <c r="S24" s="159"/>
      <c r="T24" s="159"/>
    </row>
    <row r="25" customFormat="false" ht="9" hidden="false" customHeight="true" outlineLevel="0" collapsed="false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59"/>
      <c r="N25" s="159"/>
      <c r="O25" s="159"/>
      <c r="P25" s="159"/>
      <c r="Q25" s="159"/>
      <c r="R25" s="159"/>
      <c r="S25" s="159"/>
      <c r="T25" s="159"/>
    </row>
    <row r="26" customFormat="false" ht="15.75" hidden="false" customHeight="true" outlineLevel="0" collapsed="false">
      <c r="A26" s="187"/>
      <c r="B26" s="188"/>
      <c r="C26" s="189"/>
      <c r="D26" s="190" t="s">
        <v>525</v>
      </c>
      <c r="E26" s="191" t="n">
        <f aca="false">SUM(F14:F23)</f>
        <v>17726.689</v>
      </c>
      <c r="F26" s="191"/>
      <c r="G26" s="192" t="n">
        <f aca="false">SUM(H14:H23)</f>
        <v>29936.652</v>
      </c>
      <c r="H26" s="192"/>
      <c r="I26" s="192" t="n">
        <f aca="false">SUM(J14:J23)</f>
        <v>14428.686</v>
      </c>
      <c r="J26" s="192"/>
      <c r="K26" s="192" t="n">
        <f aca="false">SUM(L14:L23)</f>
        <v>16567.883</v>
      </c>
      <c r="L26" s="192"/>
      <c r="M26" s="159"/>
      <c r="N26" s="159"/>
      <c r="O26" s="159"/>
      <c r="P26" s="159"/>
      <c r="Q26" s="159"/>
      <c r="R26" s="159"/>
      <c r="S26" s="159"/>
      <c r="T26" s="159"/>
    </row>
    <row r="27" customFormat="false" ht="15.75" hidden="false" customHeight="true" outlineLevel="0" collapsed="false">
      <c r="A27" s="187"/>
      <c r="B27" s="188"/>
      <c r="C27" s="193"/>
      <c r="D27" s="190" t="s">
        <v>526</v>
      </c>
      <c r="E27" s="194" t="n">
        <f aca="false">SUM(E26/$C$24)</f>
        <v>0.225358622963082</v>
      </c>
      <c r="F27" s="194"/>
      <c r="G27" s="195" t="n">
        <f aca="false">SUM(G26/$C$24)</f>
        <v>0.380583349256311</v>
      </c>
      <c r="H27" s="195"/>
      <c r="I27" s="195" t="n">
        <f aca="false">SUM(I26/$C$24)</f>
        <v>0.183431254879392</v>
      </c>
      <c r="J27" s="195"/>
      <c r="K27" s="195" t="n">
        <f aca="false">SUM(K26/$C$24)</f>
        <v>0.210626772901215</v>
      </c>
      <c r="L27" s="195"/>
      <c r="M27" s="159"/>
      <c r="N27" s="159"/>
      <c r="O27" s="159"/>
      <c r="P27" s="159"/>
      <c r="Q27" s="159"/>
      <c r="R27" s="159"/>
      <c r="S27" s="159"/>
      <c r="T27" s="159"/>
    </row>
    <row r="28" customFormat="false" ht="15.75" hidden="false" customHeight="true" outlineLevel="0" collapsed="false">
      <c r="A28" s="187"/>
      <c r="B28" s="188"/>
      <c r="C28" s="189"/>
      <c r="D28" s="190" t="s">
        <v>527</v>
      </c>
      <c r="E28" s="191" t="n">
        <f aca="false">E26</f>
        <v>17726.689</v>
      </c>
      <c r="F28" s="191"/>
      <c r="G28" s="192" t="n">
        <f aca="false">E28+G26</f>
        <v>47663.341</v>
      </c>
      <c r="H28" s="192"/>
      <c r="I28" s="192" t="n">
        <f aca="false">G28+I26</f>
        <v>62092.027</v>
      </c>
      <c r="J28" s="192"/>
      <c r="K28" s="192" t="n">
        <f aca="false">I28+K26</f>
        <v>78659.91</v>
      </c>
      <c r="L28" s="192"/>
      <c r="M28" s="159"/>
      <c r="N28" s="159"/>
      <c r="O28" s="159"/>
      <c r="P28" s="159"/>
      <c r="Q28" s="159"/>
      <c r="R28" s="159"/>
      <c r="S28" s="159"/>
      <c r="T28" s="159"/>
    </row>
    <row r="29" customFormat="false" ht="15.75" hidden="false" customHeight="true" outlineLevel="0" collapsed="false">
      <c r="A29" s="187"/>
      <c r="B29" s="188"/>
      <c r="C29" s="189"/>
      <c r="D29" s="190" t="s">
        <v>528</v>
      </c>
      <c r="E29" s="194" t="n">
        <f aca="false">E27</f>
        <v>0.225358622963082</v>
      </c>
      <c r="F29" s="194"/>
      <c r="G29" s="195" t="n">
        <f aca="false">E29+G27</f>
        <v>0.605941972219394</v>
      </c>
      <c r="H29" s="195"/>
      <c r="I29" s="195" t="n">
        <f aca="false">G29+I27</f>
        <v>0.789373227098785</v>
      </c>
      <c r="J29" s="195"/>
      <c r="K29" s="195" t="n">
        <f aca="false">I29+K27</f>
        <v>1</v>
      </c>
      <c r="L29" s="195"/>
      <c r="M29" s="159"/>
      <c r="N29" s="159"/>
      <c r="O29" s="159"/>
      <c r="P29" s="159"/>
      <c r="Q29" s="159"/>
      <c r="R29" s="159"/>
      <c r="S29" s="159"/>
      <c r="T29" s="159"/>
    </row>
    <row r="30" customFormat="false" ht="15.75" hidden="false" customHeight="true" outlineLevel="0" collapsed="false">
      <c r="A30" s="196"/>
      <c r="B30" s="196"/>
      <c r="C30" s="196"/>
      <c r="D30" s="196"/>
      <c r="E30" s="196"/>
      <c r="F30" s="196"/>
      <c r="G30" s="196"/>
      <c r="H30" s="196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</row>
    <row r="31" customFormat="false" ht="15.75" hidden="false" customHeight="true" outlineLevel="0" collapsed="false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</row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34">
    <mergeCell ref="A1:L1"/>
    <mergeCell ref="B3:C9"/>
    <mergeCell ref="D3:G3"/>
    <mergeCell ref="D4:G4"/>
    <mergeCell ref="D5:G5"/>
    <mergeCell ref="D6:G6"/>
    <mergeCell ref="D7:G7"/>
    <mergeCell ref="D8:G8"/>
    <mergeCell ref="D9:G9"/>
    <mergeCell ref="A11:L11"/>
    <mergeCell ref="A12:A13"/>
    <mergeCell ref="B12:B13"/>
    <mergeCell ref="E12:F12"/>
    <mergeCell ref="G12:H12"/>
    <mergeCell ref="I12:J12"/>
    <mergeCell ref="K12:L12"/>
    <mergeCell ref="A25:L25"/>
    <mergeCell ref="E26:F26"/>
    <mergeCell ref="G26:H26"/>
    <mergeCell ref="I26:J26"/>
    <mergeCell ref="K26:L26"/>
    <mergeCell ref="E27:F27"/>
    <mergeCell ref="G27:H27"/>
    <mergeCell ref="I27:J27"/>
    <mergeCell ref="K27:L27"/>
    <mergeCell ref="E28:F28"/>
    <mergeCell ref="G28:H28"/>
    <mergeCell ref="I28:J28"/>
    <mergeCell ref="K28:L28"/>
    <mergeCell ref="E29:F29"/>
    <mergeCell ref="G29:H29"/>
    <mergeCell ref="I29:J29"/>
    <mergeCell ref="K29:L29"/>
    <mergeCell ref="A31:L31"/>
  </mergeCells>
  <conditionalFormatting sqref="M14:M23">
    <cfRule type="cellIs" priority="2" operator="equal" aboveAverage="0" equalAverage="0" bottom="0" percent="0" rank="0" text="" dxfId="0">
      <formula>"100%"</formula>
    </cfRule>
  </conditionalFormatting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274E13"/>
    <pageSetUpPr fitToPage="true"/>
  </sheetPr>
  <dimension ref="A1:Z6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3" min="1" style="0" width="14.38"/>
    <col collapsed="false" customWidth="true" hidden="false" outlineLevel="0" max="26" min="14" style="0" width="8.63"/>
    <col collapsed="false" customWidth="true" hidden="false" outlineLevel="0" max="1025" min="27" style="0" width="12.63"/>
  </cols>
  <sheetData>
    <row r="1" customFormat="false" ht="15" hidden="false" customHeight="false" outlineLevel="0" collapsed="false">
      <c r="A1" s="197"/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customFormat="false" ht="15" hidden="false" customHeight="false" outlineLevel="0" collapsed="false">
      <c r="A2" s="112"/>
      <c r="B2" s="113"/>
      <c r="C2" s="113"/>
      <c r="D2" s="114"/>
      <c r="E2" s="114"/>
      <c r="F2" s="114"/>
      <c r="G2" s="114"/>
      <c r="H2" s="115"/>
      <c r="I2" s="198"/>
      <c r="J2" s="198"/>
      <c r="K2" s="198"/>
      <c r="L2" s="198"/>
      <c r="M2" s="198"/>
    </row>
    <row r="3" customFormat="false" ht="15" hidden="false" customHeight="true" outlineLevel="0" collapsed="false">
      <c r="A3" s="117"/>
      <c r="B3" s="118"/>
      <c r="C3" s="118"/>
      <c r="D3" s="6" t="s">
        <v>0</v>
      </c>
      <c r="E3" s="6"/>
      <c r="F3" s="6"/>
      <c r="G3" s="6"/>
      <c r="H3" s="115"/>
      <c r="I3" s="159"/>
      <c r="J3" s="159"/>
      <c r="K3" s="159"/>
      <c r="L3" s="159"/>
      <c r="M3" s="159"/>
    </row>
    <row r="4" customFormat="false" ht="15" hidden="false" customHeight="true" outlineLevel="0" collapsed="false">
      <c r="A4" s="117"/>
      <c r="B4" s="118"/>
      <c r="C4" s="118"/>
      <c r="D4" s="8" t="s">
        <v>1</v>
      </c>
      <c r="E4" s="8"/>
      <c r="F4" s="8"/>
      <c r="G4" s="8"/>
      <c r="H4" s="115"/>
      <c r="I4" s="159"/>
      <c r="J4" s="159"/>
      <c r="K4" s="159"/>
      <c r="L4" s="199"/>
      <c r="M4" s="200"/>
    </row>
    <row r="5" customFormat="false" ht="15" hidden="false" customHeight="true" outlineLevel="0" collapsed="false">
      <c r="A5" s="117"/>
      <c r="B5" s="118"/>
      <c r="C5" s="118"/>
      <c r="D5" s="11" t="s">
        <v>3</v>
      </c>
      <c r="E5" s="11"/>
      <c r="F5" s="11"/>
      <c r="G5" s="11"/>
      <c r="H5" s="115"/>
      <c r="I5" s="159"/>
      <c r="J5" s="159"/>
      <c r="K5" s="159"/>
      <c r="L5" s="201"/>
      <c r="M5" s="201"/>
    </row>
    <row r="6" customFormat="false" ht="15" hidden="false" customHeight="true" outlineLevel="0" collapsed="false">
      <c r="A6" s="117"/>
      <c r="B6" s="118"/>
      <c r="C6" s="118"/>
      <c r="D6" s="13" t="s">
        <v>4</v>
      </c>
      <c r="E6" s="13"/>
      <c r="F6" s="13"/>
      <c r="G6" s="13"/>
      <c r="H6" s="115"/>
      <c r="I6" s="116"/>
      <c r="L6" s="202"/>
      <c r="M6" s="203"/>
    </row>
    <row r="7" customFormat="false" ht="15" hidden="false" customHeight="true" outlineLevel="0" collapsed="false">
      <c r="A7" s="117"/>
      <c r="B7" s="118"/>
      <c r="C7" s="118"/>
      <c r="D7" s="8" t="s">
        <v>485</v>
      </c>
      <c r="E7" s="8"/>
      <c r="F7" s="8"/>
      <c r="G7" s="8"/>
      <c r="H7" s="115"/>
      <c r="I7" s="116"/>
      <c r="L7" s="202"/>
      <c r="M7" s="204"/>
    </row>
    <row r="8" customFormat="false" ht="34.5" hidden="false" customHeight="true" outlineLevel="0" collapsed="false">
      <c r="A8" s="117"/>
      <c r="B8" s="118"/>
      <c r="C8" s="118"/>
      <c r="D8" s="18" t="s">
        <v>8</v>
      </c>
      <c r="E8" s="18"/>
      <c r="F8" s="18"/>
      <c r="G8" s="18"/>
      <c r="H8" s="115"/>
      <c r="I8" s="116"/>
      <c r="J8" s="159"/>
      <c r="K8" s="159"/>
      <c r="L8" s="159"/>
      <c r="M8" s="159"/>
    </row>
    <row r="9" customFormat="false" ht="15" hidden="false" customHeight="true" outlineLevel="0" collapsed="false">
      <c r="A9" s="117"/>
      <c r="B9" s="118"/>
      <c r="C9" s="118"/>
      <c r="D9" s="20" t="s">
        <v>9</v>
      </c>
      <c r="E9" s="20"/>
      <c r="F9" s="20"/>
      <c r="G9" s="20"/>
      <c r="H9" s="115"/>
      <c r="I9" s="205"/>
      <c r="J9" s="205"/>
      <c r="K9" s="205"/>
    </row>
    <row r="10" customFormat="false" ht="15" hidden="false" customHeight="false" outlineLevel="0" collapsed="false">
      <c r="A10" s="112"/>
      <c r="B10" s="206"/>
      <c r="C10" s="206"/>
      <c r="D10" s="207"/>
      <c r="E10" s="207"/>
      <c r="F10" s="207"/>
      <c r="G10" s="207"/>
      <c r="H10" s="115"/>
      <c r="I10" s="205"/>
      <c r="J10" s="205"/>
      <c r="K10" s="205"/>
    </row>
    <row r="11" customFormat="false" ht="15" hidden="false" customHeight="false" outlineLevel="0" collapsed="false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</row>
    <row r="12" customFormat="false" ht="15" hidden="false" customHeight="false" outlineLevel="0" collapsed="false">
      <c r="A12" s="209" t="s">
        <v>529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</row>
    <row r="13" customFormat="false" ht="15" hidden="false" customHeight="true" outlineLevel="0" collapsed="false">
      <c r="A13" s="210" t="s">
        <v>10</v>
      </c>
      <c r="B13" s="210" t="s">
        <v>530</v>
      </c>
      <c r="C13" s="210"/>
      <c r="D13" s="210"/>
      <c r="E13" s="210" t="s">
        <v>531</v>
      </c>
      <c r="F13" s="210" t="s">
        <v>532</v>
      </c>
      <c r="G13" s="210" t="s">
        <v>533</v>
      </c>
      <c r="H13" s="211" t="s">
        <v>534</v>
      </c>
      <c r="I13" s="210" t="s">
        <v>535</v>
      </c>
      <c r="J13" s="210"/>
      <c r="K13" s="210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customFormat="false" ht="15" hidden="false" customHeight="false" outlineLevel="0" collapsed="false">
      <c r="A14" s="210"/>
      <c r="B14" s="210"/>
      <c r="C14" s="210"/>
      <c r="D14" s="210"/>
      <c r="E14" s="210"/>
      <c r="F14" s="210"/>
      <c r="G14" s="210"/>
      <c r="H14" s="210"/>
      <c r="I14" s="210" t="s">
        <v>536</v>
      </c>
      <c r="J14" s="210" t="s">
        <v>537</v>
      </c>
      <c r="K14" s="210" t="s">
        <v>538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customFormat="false" ht="15" hidden="false" customHeight="false" outlineLevel="0" collapsed="false">
      <c r="A15" s="212" t="n">
        <v>1</v>
      </c>
      <c r="B15" s="213" t="s">
        <v>539</v>
      </c>
      <c r="C15" s="213"/>
      <c r="D15" s="213"/>
      <c r="E15" s="214"/>
      <c r="F15" s="215" t="n">
        <v>0.03</v>
      </c>
      <c r="G15" s="214"/>
      <c r="H15" s="212" t="s">
        <v>540</v>
      </c>
      <c r="I15" s="216" t="n">
        <v>0.03</v>
      </c>
      <c r="J15" s="216" t="n">
        <v>0.04</v>
      </c>
      <c r="K15" s="216" t="n">
        <v>0.055</v>
      </c>
    </row>
    <row r="16" customFormat="false" ht="15" hidden="false" customHeight="false" outlineLevel="0" collapsed="false">
      <c r="A16" s="212" t="n">
        <v>2</v>
      </c>
      <c r="B16" s="213" t="s">
        <v>541</v>
      </c>
      <c r="C16" s="213"/>
      <c r="D16" s="213"/>
      <c r="E16" s="214"/>
      <c r="F16" s="215" t="n">
        <v>0.008</v>
      </c>
      <c r="G16" s="214"/>
      <c r="H16" s="212" t="s">
        <v>540</v>
      </c>
      <c r="I16" s="216" t="n">
        <v>0.008</v>
      </c>
      <c r="J16" s="216" t="n">
        <v>0.008</v>
      </c>
      <c r="K16" s="216" t="n">
        <v>0.01</v>
      </c>
    </row>
    <row r="17" customFormat="false" ht="15" hidden="false" customHeight="false" outlineLevel="0" collapsed="false">
      <c r="A17" s="212" t="n">
        <v>3</v>
      </c>
      <c r="B17" s="213" t="s">
        <v>542</v>
      </c>
      <c r="C17" s="213"/>
      <c r="D17" s="213"/>
      <c r="E17" s="214"/>
      <c r="F17" s="215" t="n">
        <v>0.0097</v>
      </c>
      <c r="G17" s="214"/>
      <c r="H17" s="212" t="s">
        <v>540</v>
      </c>
      <c r="I17" s="216" t="n">
        <v>0.0097</v>
      </c>
      <c r="J17" s="216" t="n">
        <v>0.0127</v>
      </c>
      <c r="K17" s="216" t="n">
        <v>0.0127</v>
      </c>
    </row>
    <row r="18" customFormat="false" ht="15" hidden="false" customHeight="false" outlineLevel="0" collapsed="false">
      <c r="A18" s="212" t="n">
        <v>4</v>
      </c>
      <c r="B18" s="213" t="s">
        <v>543</v>
      </c>
      <c r="C18" s="213"/>
      <c r="D18" s="213"/>
      <c r="E18" s="214"/>
      <c r="F18" s="215" t="n">
        <v>0.0059</v>
      </c>
      <c r="G18" s="214"/>
      <c r="H18" s="212" t="s">
        <v>540</v>
      </c>
      <c r="I18" s="216" t="n">
        <v>0.0059</v>
      </c>
      <c r="J18" s="216" t="n">
        <v>0.0123</v>
      </c>
      <c r="K18" s="216" t="n">
        <v>0.0139</v>
      </c>
    </row>
    <row r="19" customFormat="false" ht="15" hidden="false" customHeight="false" outlineLevel="0" collapsed="false">
      <c r="A19" s="212" t="n">
        <v>5</v>
      </c>
      <c r="B19" s="213" t="s">
        <v>544</v>
      </c>
      <c r="C19" s="213"/>
      <c r="D19" s="213"/>
      <c r="E19" s="214"/>
      <c r="F19" s="215" t="n">
        <v>0.06245</v>
      </c>
      <c r="G19" s="214"/>
      <c r="H19" s="212" t="s">
        <v>540</v>
      </c>
      <c r="I19" s="216" t="n">
        <v>0.0616</v>
      </c>
      <c r="J19" s="216" t="n">
        <v>0.074</v>
      </c>
      <c r="K19" s="216" t="n">
        <v>0.0896</v>
      </c>
    </row>
    <row r="20" customFormat="false" ht="15" hidden="false" customHeight="false" outlineLevel="0" collapsed="false">
      <c r="A20" s="212" t="n">
        <v>6</v>
      </c>
      <c r="B20" s="213" t="s">
        <v>545</v>
      </c>
      <c r="C20" s="213"/>
      <c r="D20" s="213"/>
      <c r="E20" s="214"/>
      <c r="F20" s="215" t="n">
        <f aca="false">SUM(F21:F24)</f>
        <v>0.1115</v>
      </c>
      <c r="G20" s="217" t="s">
        <v>546</v>
      </c>
      <c r="H20" s="217"/>
      <c r="I20" s="217"/>
      <c r="J20" s="217"/>
      <c r="K20" s="217"/>
    </row>
    <row r="21" customFormat="false" ht="15.75" hidden="false" customHeight="true" outlineLevel="0" collapsed="false">
      <c r="A21" s="218" t="n">
        <v>43836</v>
      </c>
      <c r="B21" s="213" t="s">
        <v>547</v>
      </c>
      <c r="C21" s="213"/>
      <c r="D21" s="213"/>
      <c r="E21" s="213"/>
      <c r="F21" s="215" t="n">
        <v>0.0065</v>
      </c>
      <c r="G21" s="217"/>
      <c r="H21" s="217"/>
      <c r="I21" s="217"/>
      <c r="J21" s="217"/>
      <c r="K21" s="217"/>
    </row>
    <row r="22" customFormat="false" ht="15.75" hidden="false" customHeight="true" outlineLevel="0" collapsed="false">
      <c r="A22" s="218" t="n">
        <v>43867</v>
      </c>
      <c r="B22" s="213" t="s">
        <v>548</v>
      </c>
      <c r="C22" s="213"/>
      <c r="D22" s="213"/>
      <c r="E22" s="213"/>
      <c r="F22" s="215" t="n">
        <v>0.03</v>
      </c>
      <c r="G22" s="217"/>
      <c r="H22" s="217"/>
      <c r="I22" s="217"/>
      <c r="J22" s="217"/>
      <c r="K22" s="217"/>
    </row>
    <row r="23" customFormat="false" ht="15.75" hidden="false" customHeight="true" outlineLevel="0" collapsed="false">
      <c r="A23" s="218" t="n">
        <v>43896</v>
      </c>
      <c r="B23" s="213" t="s">
        <v>549</v>
      </c>
      <c r="C23" s="213"/>
      <c r="D23" s="213"/>
      <c r="E23" s="213"/>
      <c r="F23" s="215" t="n">
        <v>0.03</v>
      </c>
      <c r="G23" s="217"/>
      <c r="H23" s="217"/>
      <c r="I23" s="217"/>
      <c r="J23" s="217"/>
      <c r="K23" s="217"/>
    </row>
    <row r="24" customFormat="false" ht="15.75" hidden="false" customHeight="true" outlineLevel="0" collapsed="false">
      <c r="A24" s="218" t="n">
        <v>43927</v>
      </c>
      <c r="B24" s="213" t="s">
        <v>550</v>
      </c>
      <c r="C24" s="213"/>
      <c r="D24" s="213"/>
      <c r="E24" s="213"/>
      <c r="F24" s="215" t="n">
        <v>0.045</v>
      </c>
      <c r="G24" s="217"/>
      <c r="H24" s="217"/>
      <c r="I24" s="217"/>
      <c r="J24" s="217"/>
      <c r="K24" s="217"/>
    </row>
    <row r="25" customFormat="false" ht="15.75" hidden="false" customHeight="true" outlineLevel="0" collapsed="false">
      <c r="A25" s="219"/>
      <c r="B25" s="219"/>
      <c r="C25" s="219"/>
      <c r="D25" s="219"/>
      <c r="E25" s="219"/>
      <c r="F25" s="219"/>
      <c r="G25" s="217"/>
      <c r="H25" s="217"/>
      <c r="I25" s="217"/>
      <c r="J25" s="217"/>
      <c r="K25" s="217"/>
    </row>
    <row r="26" customFormat="false" ht="15.75" hidden="false" customHeight="true" outlineLevel="0" collapsed="false">
      <c r="A26" s="220" t="s">
        <v>551</v>
      </c>
      <c r="B26" s="220"/>
      <c r="C26" s="220"/>
      <c r="D26" s="220"/>
      <c r="E26" s="214"/>
      <c r="F26" s="214"/>
      <c r="G26" s="217"/>
      <c r="H26" s="217"/>
      <c r="I26" s="217"/>
      <c r="J26" s="217"/>
      <c r="K26" s="217"/>
    </row>
    <row r="27" customFormat="false" ht="15.75" hidden="false" customHeight="true" outlineLevel="0" collapsed="false">
      <c r="A27" s="220" t="s">
        <v>552</v>
      </c>
      <c r="B27" s="220"/>
      <c r="C27" s="220"/>
      <c r="D27" s="220"/>
      <c r="E27" s="214"/>
      <c r="F27" s="214"/>
      <c r="G27" s="213" t="s">
        <v>553</v>
      </c>
      <c r="H27" s="213"/>
      <c r="I27" s="213"/>
      <c r="J27" s="213"/>
      <c r="K27" s="213"/>
    </row>
    <row r="28" customFormat="false" ht="15.75" hidden="false" customHeight="true" outlineLevel="0" collapsed="false">
      <c r="A28" s="220" t="s">
        <v>554</v>
      </c>
      <c r="B28" s="220"/>
      <c r="C28" s="220"/>
      <c r="D28" s="220"/>
      <c r="E28" s="220"/>
      <c r="F28" s="215" t="n">
        <f aca="false">(((1+(F15+F16+F17))*(1+F18)*(1+F19))/(1-F20))-1</f>
        <v>0.260209707713562</v>
      </c>
      <c r="G28" s="213" t="s">
        <v>555</v>
      </c>
      <c r="H28" s="213"/>
      <c r="I28" s="213"/>
      <c r="J28" s="213"/>
      <c r="K28" s="213"/>
    </row>
    <row r="29" customFormat="false" ht="15.75" hidden="false" customHeight="true" outlineLevel="0" collapsed="false">
      <c r="A29" s="219"/>
      <c r="B29" s="219"/>
      <c r="C29" s="219"/>
      <c r="D29" s="219"/>
      <c r="E29" s="219"/>
      <c r="F29" s="219"/>
      <c r="G29" s="213" t="s">
        <v>556</v>
      </c>
      <c r="H29" s="213"/>
      <c r="I29" s="213"/>
      <c r="J29" s="213"/>
      <c r="K29" s="213"/>
    </row>
    <row r="30" customFormat="false" ht="15.75" hidden="false" customHeight="true" outlineLevel="0" collapsed="false">
      <c r="A30" s="219"/>
      <c r="B30" s="219"/>
      <c r="C30" s="219"/>
      <c r="D30" s="219"/>
      <c r="E30" s="219"/>
      <c r="F30" s="219"/>
      <c r="G30" s="213" t="s">
        <v>557</v>
      </c>
      <c r="H30" s="213"/>
      <c r="I30" s="213"/>
      <c r="J30" s="213"/>
      <c r="K30" s="213"/>
    </row>
    <row r="31" customFormat="false" ht="15.75" hidden="false" customHeight="true" outlineLevel="0" collapsed="false">
      <c r="A31" s="219"/>
      <c r="B31" s="219"/>
      <c r="C31" s="219"/>
      <c r="D31" s="219"/>
      <c r="E31" s="219"/>
      <c r="F31" s="219"/>
      <c r="G31" s="213" t="s">
        <v>558</v>
      </c>
      <c r="H31" s="213"/>
      <c r="I31" s="213"/>
      <c r="J31" s="213"/>
      <c r="K31" s="213"/>
    </row>
    <row r="32" customFormat="false" ht="15.75" hidden="false" customHeight="true" outlineLevel="0" collapsed="false">
      <c r="A32" s="219"/>
      <c r="B32" s="219"/>
      <c r="C32" s="219"/>
      <c r="D32" s="219"/>
      <c r="E32" s="219"/>
      <c r="F32" s="219"/>
      <c r="G32" s="213" t="s">
        <v>559</v>
      </c>
      <c r="H32" s="213"/>
      <c r="I32" s="213"/>
      <c r="J32" s="213"/>
      <c r="K32" s="213"/>
    </row>
    <row r="33" customFormat="false" ht="15.75" hidden="false" customHeight="true" outlineLevel="0" collapsed="false">
      <c r="A33" s="219"/>
      <c r="B33" s="219"/>
      <c r="C33" s="219"/>
      <c r="D33" s="219"/>
      <c r="E33" s="219"/>
      <c r="F33" s="219"/>
      <c r="G33" s="213" t="s">
        <v>560</v>
      </c>
      <c r="H33" s="213"/>
      <c r="I33" s="213"/>
      <c r="J33" s="213"/>
      <c r="K33" s="213"/>
    </row>
    <row r="34" customFormat="false" ht="15.75" hidden="false" customHeight="true" outlineLevel="0" collapsed="false">
      <c r="A34" s="219"/>
      <c r="B34" s="219"/>
      <c r="C34" s="219"/>
      <c r="D34" s="219"/>
      <c r="E34" s="219"/>
      <c r="F34" s="219"/>
      <c r="G34" s="213" t="s">
        <v>561</v>
      </c>
      <c r="H34" s="213"/>
      <c r="I34" s="213"/>
      <c r="J34" s="213"/>
      <c r="K34" s="213"/>
    </row>
    <row r="35" customFormat="false" ht="15.75" hidden="false" customHeight="true" outlineLevel="0" collapsed="false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</row>
    <row r="36" customFormat="false" ht="15.75" hidden="false" customHeight="true" outlineLevel="0" collapsed="false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7"/>
    </row>
    <row r="37" customFormat="false" ht="15.75" hidden="false" customHeight="true" outlineLevel="0" collapsed="false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</row>
    <row r="38" customFormat="false" ht="15.75" hidden="false" customHeight="true" outlineLevel="0" collapsed="false">
      <c r="A38" s="221" t="s">
        <v>562</v>
      </c>
      <c r="B38" s="221"/>
      <c r="C38" s="221"/>
      <c r="D38" s="221"/>
      <c r="E38" s="221"/>
      <c r="F38" s="221"/>
      <c r="G38" s="221"/>
      <c r="H38" s="221"/>
      <c r="I38" s="221"/>
      <c r="J38" s="221"/>
      <c r="K38" s="221"/>
    </row>
    <row r="39" customFormat="false" ht="15.75" hidden="false" customHeight="true" outlineLevel="0" collapsed="false">
      <c r="A39" s="220" t="s">
        <v>529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</row>
    <row r="40" customFormat="false" ht="15" hidden="false" customHeight="true" outlineLevel="0" collapsed="false">
      <c r="A40" s="220" t="s">
        <v>10</v>
      </c>
      <c r="B40" s="220" t="s">
        <v>530</v>
      </c>
      <c r="C40" s="220"/>
      <c r="D40" s="220"/>
      <c r="E40" s="220" t="s">
        <v>531</v>
      </c>
      <c r="F40" s="220" t="s">
        <v>532</v>
      </c>
      <c r="G40" s="220" t="s">
        <v>533</v>
      </c>
      <c r="H40" s="222" t="s">
        <v>534</v>
      </c>
      <c r="I40" s="220" t="s">
        <v>535</v>
      </c>
      <c r="J40" s="220"/>
      <c r="K40" s="220"/>
    </row>
    <row r="41" customFormat="false" ht="15.75" hidden="false" customHeight="true" outlineLevel="0" collapsed="false">
      <c r="A41" s="220"/>
      <c r="B41" s="220"/>
      <c r="C41" s="220"/>
      <c r="D41" s="220"/>
      <c r="E41" s="220"/>
      <c r="F41" s="220"/>
      <c r="G41" s="220"/>
      <c r="H41" s="220"/>
      <c r="I41" s="220" t="s">
        <v>536</v>
      </c>
      <c r="J41" s="220" t="s">
        <v>537</v>
      </c>
      <c r="K41" s="220" t="s">
        <v>538</v>
      </c>
    </row>
    <row r="42" customFormat="false" ht="15.75" hidden="false" customHeight="true" outlineLevel="0" collapsed="false">
      <c r="A42" s="212" t="n">
        <v>1</v>
      </c>
      <c r="B42" s="213" t="s">
        <v>539</v>
      </c>
      <c r="C42" s="213"/>
      <c r="D42" s="213"/>
      <c r="E42" s="214"/>
      <c r="F42" s="223" t="n">
        <v>0.015</v>
      </c>
      <c r="G42" s="214"/>
      <c r="H42" s="212" t="str">
        <f aca="false">IF(AND(F42&gt;=I42,F42&lt;=K42),"OK","DIFERE")</f>
        <v>OK</v>
      </c>
      <c r="I42" s="216" t="n">
        <v>0.015</v>
      </c>
      <c r="J42" s="216" t="n">
        <v>0.0345</v>
      </c>
      <c r="K42" s="216" t="n">
        <v>0.0449</v>
      </c>
    </row>
    <row r="43" customFormat="false" ht="15.75" hidden="false" customHeight="true" outlineLevel="0" collapsed="false">
      <c r="A43" s="212" t="n">
        <v>2</v>
      </c>
      <c r="B43" s="213" t="s">
        <v>541</v>
      </c>
      <c r="C43" s="213"/>
      <c r="D43" s="213"/>
      <c r="E43" s="214"/>
      <c r="F43" s="215" t="n">
        <v>0.003</v>
      </c>
      <c r="G43" s="214"/>
      <c r="H43" s="212" t="str">
        <f aca="false">IF(AND(F43&gt;=I43,F43&lt;=K43),"OK","DIFERE")</f>
        <v>OK</v>
      </c>
      <c r="I43" s="216" t="n">
        <v>0.003</v>
      </c>
      <c r="J43" s="216" t="n">
        <v>0.0048</v>
      </c>
      <c r="K43" s="216" t="n">
        <v>0.0082</v>
      </c>
    </row>
    <row r="44" customFormat="false" ht="15.75" hidden="false" customHeight="true" outlineLevel="0" collapsed="false">
      <c r="A44" s="212" t="n">
        <v>3</v>
      </c>
      <c r="B44" s="213" t="s">
        <v>542</v>
      </c>
      <c r="C44" s="213"/>
      <c r="D44" s="213"/>
      <c r="E44" s="214"/>
      <c r="F44" s="215" t="n">
        <v>0.0056</v>
      </c>
      <c r="G44" s="214"/>
      <c r="H44" s="212" t="str">
        <f aca="false">IF(AND(F44&gt;=I44,F44&lt;=K44),"OK","DIFERE")</f>
        <v>OK</v>
      </c>
      <c r="I44" s="216" t="n">
        <v>0.0056</v>
      </c>
      <c r="J44" s="216" t="n">
        <v>0.0085</v>
      </c>
      <c r="K44" s="216" t="n">
        <v>0.0089</v>
      </c>
    </row>
    <row r="45" customFormat="false" ht="15.75" hidden="false" customHeight="true" outlineLevel="0" collapsed="false">
      <c r="A45" s="212" t="n">
        <v>4</v>
      </c>
      <c r="B45" s="213" t="s">
        <v>543</v>
      </c>
      <c r="C45" s="213"/>
      <c r="D45" s="213"/>
      <c r="E45" s="214"/>
      <c r="F45" s="215" t="n">
        <v>0.0085</v>
      </c>
      <c r="G45" s="214"/>
      <c r="H45" s="212" t="str">
        <f aca="false">IF(AND(F45&gt;=I45,F45&lt;=K45),"OK","DIFERE")</f>
        <v>OK</v>
      </c>
      <c r="I45" s="216" t="n">
        <v>0.0085</v>
      </c>
      <c r="J45" s="216" t="n">
        <v>0.0085</v>
      </c>
      <c r="K45" s="216" t="n">
        <v>0.0111</v>
      </c>
    </row>
    <row r="46" customFormat="false" ht="15.75" hidden="false" customHeight="true" outlineLevel="0" collapsed="false">
      <c r="A46" s="212" t="n">
        <v>5</v>
      </c>
      <c r="B46" s="213" t="s">
        <v>544</v>
      </c>
      <c r="C46" s="213"/>
      <c r="D46" s="213"/>
      <c r="E46" s="214"/>
      <c r="F46" s="223" t="n">
        <v>0.0352</v>
      </c>
      <c r="G46" s="214"/>
      <c r="H46" s="212" t="str">
        <f aca="false">IF(AND(F46&gt;=I46,F46&lt;=K46),"OK","DIFERE")</f>
        <v>OK</v>
      </c>
      <c r="I46" s="216" t="n">
        <v>0.035</v>
      </c>
      <c r="J46" s="216" t="n">
        <v>0.0511</v>
      </c>
      <c r="K46" s="216" t="n">
        <v>0.0622</v>
      </c>
    </row>
    <row r="47" customFormat="false" ht="15.75" hidden="false" customHeight="true" outlineLevel="0" collapsed="false">
      <c r="A47" s="212" t="n">
        <v>6</v>
      </c>
      <c r="B47" s="213" t="s">
        <v>545</v>
      </c>
      <c r="C47" s="213"/>
      <c r="D47" s="213"/>
      <c r="E47" s="214"/>
      <c r="F47" s="215" t="n">
        <f aca="false">SUM(F48:F51)</f>
        <v>0.0815</v>
      </c>
      <c r="G47" s="217" t="s">
        <v>546</v>
      </c>
      <c r="H47" s="217"/>
      <c r="I47" s="217"/>
      <c r="J47" s="217"/>
      <c r="K47" s="217"/>
    </row>
    <row r="48" customFormat="false" ht="15.75" hidden="false" customHeight="true" outlineLevel="0" collapsed="false">
      <c r="A48" s="218" t="n">
        <v>43836</v>
      </c>
      <c r="B48" s="213" t="s">
        <v>547</v>
      </c>
      <c r="C48" s="213"/>
      <c r="D48" s="213"/>
      <c r="E48" s="213"/>
      <c r="F48" s="215" t="n">
        <v>0.0065</v>
      </c>
      <c r="G48" s="217"/>
      <c r="H48" s="217"/>
      <c r="I48" s="217"/>
      <c r="J48" s="217"/>
      <c r="K48" s="217"/>
    </row>
    <row r="49" customFormat="false" ht="15.75" hidden="false" customHeight="true" outlineLevel="0" collapsed="false">
      <c r="A49" s="218" t="n">
        <v>43867</v>
      </c>
      <c r="B49" s="213" t="s">
        <v>548</v>
      </c>
      <c r="C49" s="213"/>
      <c r="D49" s="213"/>
      <c r="E49" s="213"/>
      <c r="F49" s="215" t="n">
        <v>0.03</v>
      </c>
      <c r="G49" s="217"/>
      <c r="H49" s="217"/>
      <c r="I49" s="217"/>
      <c r="J49" s="217"/>
      <c r="K49" s="217"/>
    </row>
    <row r="50" customFormat="false" ht="15.75" hidden="false" customHeight="true" outlineLevel="0" collapsed="false">
      <c r="A50" s="218" t="n">
        <v>43896</v>
      </c>
      <c r="B50" s="213" t="s">
        <v>549</v>
      </c>
      <c r="C50" s="213"/>
      <c r="D50" s="213"/>
      <c r="E50" s="213"/>
      <c r="F50" s="223" t="n">
        <v>0</v>
      </c>
      <c r="G50" s="217"/>
      <c r="H50" s="217"/>
      <c r="I50" s="217"/>
      <c r="J50" s="217"/>
      <c r="K50" s="217"/>
    </row>
    <row r="51" customFormat="false" ht="15.75" hidden="false" customHeight="true" outlineLevel="0" collapsed="false">
      <c r="A51" s="218" t="n">
        <v>43927</v>
      </c>
      <c r="B51" s="213" t="s">
        <v>550</v>
      </c>
      <c r="C51" s="213"/>
      <c r="D51" s="213"/>
      <c r="E51" s="213"/>
      <c r="F51" s="215" t="n">
        <v>0.045</v>
      </c>
      <c r="G51" s="217"/>
      <c r="H51" s="217"/>
      <c r="I51" s="217"/>
      <c r="J51" s="217"/>
      <c r="K51" s="217"/>
    </row>
    <row r="52" customFormat="false" ht="15.75" hidden="false" customHeight="true" outlineLevel="0" collapsed="false">
      <c r="A52" s="219"/>
      <c r="B52" s="219"/>
      <c r="C52" s="219"/>
      <c r="D52" s="219"/>
      <c r="E52" s="219"/>
      <c r="F52" s="219"/>
      <c r="G52" s="217"/>
      <c r="H52" s="217"/>
      <c r="I52" s="217"/>
      <c r="J52" s="217"/>
      <c r="K52" s="217"/>
    </row>
    <row r="53" customFormat="false" ht="15.75" hidden="false" customHeight="true" outlineLevel="0" collapsed="false">
      <c r="A53" s="220" t="s">
        <v>551</v>
      </c>
      <c r="B53" s="220"/>
      <c r="C53" s="220"/>
      <c r="D53" s="220"/>
      <c r="E53" s="214"/>
      <c r="F53" s="214"/>
      <c r="G53" s="217"/>
      <c r="H53" s="217"/>
      <c r="I53" s="217"/>
      <c r="J53" s="217"/>
      <c r="K53" s="217"/>
    </row>
    <row r="54" customFormat="false" ht="15.75" hidden="false" customHeight="true" outlineLevel="0" collapsed="false">
      <c r="A54" s="220" t="s">
        <v>552</v>
      </c>
      <c r="B54" s="220"/>
      <c r="C54" s="220"/>
      <c r="D54" s="220"/>
      <c r="E54" s="214"/>
      <c r="F54" s="214"/>
      <c r="G54" s="213" t="s">
        <v>553</v>
      </c>
      <c r="H54" s="213"/>
      <c r="I54" s="213"/>
      <c r="J54" s="213"/>
      <c r="K54" s="213"/>
    </row>
    <row r="55" customFormat="false" ht="15.75" hidden="false" customHeight="true" outlineLevel="0" collapsed="false">
      <c r="A55" s="220" t="s">
        <v>554</v>
      </c>
      <c r="B55" s="220"/>
      <c r="C55" s="220"/>
      <c r="D55" s="220"/>
      <c r="E55" s="220"/>
      <c r="F55" s="215" t="n">
        <f aca="false">(((1+(F42+F43+F44))*(1+F45)*(1+F46))/(1-F47))-1</f>
        <v>0.163459533064779</v>
      </c>
      <c r="G55" s="213" t="s">
        <v>555</v>
      </c>
      <c r="H55" s="213"/>
      <c r="I55" s="213"/>
      <c r="J55" s="213"/>
      <c r="K55" s="213"/>
    </row>
    <row r="56" customFormat="false" ht="15.75" hidden="false" customHeight="true" outlineLevel="0" collapsed="false">
      <c r="A56" s="116"/>
      <c r="B56" s="116"/>
      <c r="C56" s="116"/>
      <c r="D56" s="116"/>
      <c r="E56" s="116"/>
      <c r="F56" s="224"/>
      <c r="G56" s="213" t="s">
        <v>556</v>
      </c>
      <c r="H56" s="213"/>
      <c r="I56" s="213"/>
      <c r="J56" s="213"/>
      <c r="K56" s="213"/>
    </row>
    <row r="57" customFormat="false" ht="15.75" hidden="false" customHeight="true" outlineLevel="0" collapsed="false">
      <c r="A57" s="214" t="s">
        <v>563</v>
      </c>
      <c r="B57" s="214"/>
      <c r="C57" s="214"/>
      <c r="D57" s="214"/>
      <c r="E57" s="116"/>
      <c r="F57" s="224"/>
      <c r="G57" s="213" t="s">
        <v>557</v>
      </c>
      <c r="H57" s="213"/>
      <c r="I57" s="213"/>
      <c r="J57" s="213"/>
      <c r="K57" s="213"/>
    </row>
    <row r="58" customFormat="false" ht="15.75" hidden="false" customHeight="true" outlineLevel="0" collapsed="false">
      <c r="A58" s="214" t="s">
        <v>564</v>
      </c>
      <c r="B58" s="225" t="n">
        <v>0.111</v>
      </c>
      <c r="C58" s="225" t="n">
        <v>0.1402</v>
      </c>
      <c r="D58" s="225" t="n">
        <v>0.168</v>
      </c>
      <c r="E58" s="116"/>
      <c r="F58" s="224"/>
      <c r="G58" s="213" t="s">
        <v>558</v>
      </c>
      <c r="H58" s="213"/>
      <c r="I58" s="213"/>
      <c r="J58" s="213"/>
      <c r="K58" s="213"/>
    </row>
    <row r="59" customFormat="false" ht="15.75" hidden="false" customHeight="true" outlineLevel="0" collapsed="false">
      <c r="A59" s="214" t="s">
        <v>565</v>
      </c>
      <c r="B59" s="225" t="n">
        <v>0.1634</v>
      </c>
      <c r="C59" s="225" t="n">
        <v>0.1939</v>
      </c>
      <c r="D59" s="225" t="n">
        <v>0.223</v>
      </c>
      <c r="E59" s="116"/>
      <c r="F59" s="224"/>
      <c r="G59" s="213" t="s">
        <v>559</v>
      </c>
      <c r="H59" s="213"/>
      <c r="I59" s="213"/>
      <c r="J59" s="213"/>
      <c r="K59" s="213"/>
    </row>
    <row r="60" customFormat="false" ht="15.75" hidden="false" customHeight="true" outlineLevel="0" collapsed="false">
      <c r="A60" s="116"/>
      <c r="B60" s="116"/>
      <c r="C60" s="116"/>
      <c r="D60" s="116"/>
      <c r="E60" s="116"/>
      <c r="F60" s="224"/>
      <c r="G60" s="213" t="s">
        <v>560</v>
      </c>
      <c r="H60" s="213"/>
      <c r="I60" s="213"/>
      <c r="J60" s="213"/>
      <c r="K60" s="213"/>
    </row>
    <row r="61" customFormat="false" ht="15.75" hidden="false" customHeight="true" outlineLevel="0" collapsed="false">
      <c r="A61" s="226"/>
      <c r="B61" s="226"/>
      <c r="C61" s="226"/>
      <c r="D61" s="226"/>
      <c r="E61" s="226"/>
      <c r="F61" s="219"/>
      <c r="G61" s="213" t="s">
        <v>561</v>
      </c>
      <c r="H61" s="213"/>
      <c r="I61" s="213"/>
      <c r="J61" s="213"/>
      <c r="K61" s="213"/>
    </row>
    <row r="62" customFormat="false" ht="15" hidden="false" customHeight="true" outlineLevel="0" collapsed="false">
      <c r="A62" s="227" t="s">
        <v>566</v>
      </c>
      <c r="B62" s="227"/>
      <c r="C62" s="227"/>
      <c r="D62" s="227"/>
      <c r="E62" s="227"/>
      <c r="F62" s="227"/>
      <c r="G62" s="227"/>
      <c r="H62" s="227"/>
      <c r="I62" s="227"/>
      <c r="J62" s="227"/>
      <c r="K62" s="227"/>
    </row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81">
    <mergeCell ref="A1:K1"/>
    <mergeCell ref="A3:A9"/>
    <mergeCell ref="B3:C9"/>
    <mergeCell ref="D3:G3"/>
    <mergeCell ref="D4:G4"/>
    <mergeCell ref="D5:G5"/>
    <mergeCell ref="L5:M5"/>
    <mergeCell ref="D6:G6"/>
    <mergeCell ref="D7:G7"/>
    <mergeCell ref="D8:G8"/>
    <mergeCell ref="D9:G9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A29:F34"/>
    <mergeCell ref="G29:K29"/>
    <mergeCell ref="G30:K30"/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H40:H41"/>
    <mergeCell ref="I40:K40"/>
    <mergeCell ref="B42:D42"/>
    <mergeCell ref="B43:D43"/>
    <mergeCell ref="B44:D44"/>
    <mergeCell ref="B45:D45"/>
    <mergeCell ref="B46:D46"/>
    <mergeCell ref="B47:D47"/>
    <mergeCell ref="G47:K53"/>
    <mergeCell ref="B48:E48"/>
    <mergeCell ref="B49:E49"/>
    <mergeCell ref="B50:E50"/>
    <mergeCell ref="B51:E51"/>
    <mergeCell ref="A52:F52"/>
    <mergeCell ref="A53:D53"/>
    <mergeCell ref="A54:D54"/>
    <mergeCell ref="G54:K54"/>
    <mergeCell ref="A55:E55"/>
    <mergeCell ref="G55:K55"/>
    <mergeCell ref="G56:K56"/>
    <mergeCell ref="A57:D57"/>
    <mergeCell ref="G57:K57"/>
    <mergeCell ref="G58:K58"/>
    <mergeCell ref="G59:K59"/>
    <mergeCell ref="G60:K60"/>
    <mergeCell ref="G61:K61"/>
    <mergeCell ref="A62:K62"/>
  </mergeCells>
  <printOptions headings="false" gridLines="false" gridLinesSet="true" horizontalCentered="true" verticalCentered="tru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2022-11-07T16:34:34Z</dcterms:modified>
  <cp:revision>1</cp:revision>
  <dc:subject/>
  <dc:title/>
</cp:coreProperties>
</file>